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4.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M:\2021\2021 WA Clean Energy Implementation Plan (CEIP) (UE-210628)\CEIP Document Final Draft 10.01.2021\Appendix K- Figures &amp; Tables\"/>
    </mc:Choice>
  </mc:AlternateContent>
  <xr:revisionPtr revIDLastSave="0" documentId="13_ncr:1_{C7BFF2B1-A195-4563-847B-3A027882622C}" xr6:coauthVersionLast="45" xr6:coauthVersionMax="45" xr10:uidLastSave="{00000000-0000-0000-0000-000000000000}"/>
  <bookViews>
    <workbookView xWindow="40920" yWindow="-120" windowWidth="29040" windowHeight="15840" xr2:uid="{16D7F83C-0E93-487F-986B-98F5C6437F92}"/>
  </bookViews>
  <sheets>
    <sheet name="Figure 3.1" sheetId="2" r:id="rId1"/>
    <sheet name="Figure 3.2 " sheetId="3" r:id="rId2"/>
    <sheet name="Figure 3.3" sheetId="4" r:id="rId3"/>
    <sheet name="Figure 3.4" sheetId="5" r:id="rId4"/>
    <sheet name="Table 3.1" sheetId="6" r:id="rId5"/>
    <sheet name="Table 3.2 and 3.3" sheetId="7" r:id="rId6"/>
    <sheet name="Figure 3.5 " sheetId="29" r:id="rId7"/>
    <sheet name="Figure 3.6" sheetId="27" r:id="rId8"/>
    <sheet name="Table 3.4" sheetId="8" r:id="rId9"/>
    <sheet name="Figure 3.7" sheetId="25" r:id="rId10"/>
    <sheet name="Table 3.5" sheetId="31" r:id="rId11"/>
    <sheet name="Table 3.6" sheetId="15" r:id="rId12"/>
    <sheet name="Figure 3.8" sheetId="20" r:id="rId13"/>
    <sheet name="Figure 3.9" sheetId="19" r:id="rId14"/>
    <sheet name="Figure 3.10" sheetId="28" r:id="rId15"/>
    <sheet name="Figure 3.11" sheetId="21" r:id="rId16"/>
    <sheet name="Figure 3.12" sheetId="13" r:id="rId17"/>
    <sheet name="Figure 3.13" sheetId="24" r:id="rId18"/>
    <sheet name="Figure 3.14" sheetId="22" r:id="rId19"/>
    <sheet name="Figure 3.15" sheetId="23" r:id="rId20"/>
    <sheet name="Table 3.7" sheetId="18" r:id="rId21"/>
    <sheet name="Figure 3.16" sheetId="1" r:id="rId22"/>
  </sheets>
  <externalReferences>
    <externalReference r:id="rId23"/>
    <externalReference r:id="rId24"/>
    <externalReference r:id="rId25"/>
    <externalReference r:id="rId26"/>
  </externalReferences>
  <definedNames>
    <definedName name="_xlnm._FilterDatabase" localSheetId="13" hidden="1">'Figure 3.9'!$A$1:$AJ$149</definedName>
    <definedName name="_Hlk79126793" localSheetId="8">'Table 3.4'!#REF!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1" i="29" l="1"/>
  <c r="E41" i="29"/>
  <c r="D41" i="29"/>
  <c r="C41" i="29"/>
  <c r="B41" i="29"/>
  <c r="F40" i="29"/>
  <c r="E40" i="29"/>
  <c r="D40" i="29"/>
  <c r="C40" i="29"/>
  <c r="B40" i="29"/>
  <c r="D39" i="29"/>
  <c r="E38" i="29"/>
  <c r="C38" i="29"/>
  <c r="F36" i="29"/>
  <c r="F39" i="29" s="1"/>
  <c r="E36" i="29"/>
  <c r="D36" i="29"/>
  <c r="C36" i="29"/>
  <c r="B36" i="29"/>
  <c r="B39" i="29" s="1"/>
  <c r="F35" i="29"/>
  <c r="E35" i="29"/>
  <c r="E39" i="29" s="1"/>
  <c r="D35" i="29"/>
  <c r="C35" i="29"/>
  <c r="C39" i="29" s="1"/>
  <c r="B35" i="29"/>
  <c r="F32" i="29"/>
  <c r="F38" i="29" s="1"/>
  <c r="E32" i="29"/>
  <c r="D32" i="29"/>
  <c r="D38" i="29" s="1"/>
  <c r="C32" i="29"/>
  <c r="B32" i="29"/>
  <c r="B38" i="29" s="1"/>
  <c r="H16" i="29"/>
  <c r="H18" i="29" s="1"/>
  <c r="H24" i="29" s="1"/>
  <c r="F16" i="29"/>
  <c r="F18" i="29" s="1"/>
  <c r="F24" i="29" s="1"/>
  <c r="I13" i="29"/>
  <c r="I16" i="29" s="1"/>
  <c r="I18" i="29" s="1"/>
  <c r="I24" i="29" s="1"/>
  <c r="H13" i="29"/>
  <c r="G13" i="29"/>
  <c r="G16" i="29" s="1"/>
  <c r="G18" i="29" s="1"/>
  <c r="G24" i="29" s="1"/>
  <c r="F13" i="29"/>
  <c r="E13" i="29"/>
  <c r="E16" i="29" s="1"/>
  <c r="E18" i="29" s="1"/>
  <c r="E24" i="29" s="1"/>
  <c r="I7" i="29"/>
  <c r="I21" i="29" s="1"/>
  <c r="I23" i="29" s="1"/>
  <c r="H7" i="29"/>
  <c r="H21" i="29" s="1"/>
  <c r="H23" i="29" s="1"/>
  <c r="G7" i="29"/>
  <c r="G21" i="29" s="1"/>
  <c r="G23" i="29" s="1"/>
  <c r="F7" i="29"/>
  <c r="F21" i="29" s="1"/>
  <c r="F23" i="29" s="1"/>
  <c r="E7" i="29"/>
  <c r="E21" i="29" s="1"/>
  <c r="E23" i="29" s="1"/>
  <c r="K43" i="28" l="1"/>
  <c r="N41" i="28"/>
  <c r="M41" i="28"/>
  <c r="H41" i="28"/>
  <c r="E41" i="28"/>
  <c r="N39" i="28"/>
  <c r="N43" i="28" s="1"/>
  <c r="M39" i="28"/>
  <c r="M43" i="28" s="1"/>
  <c r="L39" i="28"/>
  <c r="L43" i="28" s="1"/>
  <c r="K39" i="28"/>
  <c r="K41" i="28" s="1"/>
  <c r="H39" i="28"/>
  <c r="H43" i="28" s="1"/>
  <c r="G39" i="28"/>
  <c r="G41" i="28" s="1"/>
  <c r="F39" i="28"/>
  <c r="F41" i="28" s="1"/>
  <c r="E39" i="28"/>
  <c r="E43" i="28" s="1"/>
  <c r="J18" i="28"/>
  <c r="J39" i="28" s="1"/>
  <c r="D18" i="28"/>
  <c r="D39" i="28" s="1"/>
  <c r="D43" i="28" l="1"/>
  <c r="D41" i="28"/>
  <c r="J43" i="28"/>
  <c r="J41" i="28"/>
  <c r="G43" i="28"/>
  <c r="F43" i="28"/>
  <c r="L41" i="28"/>
  <c r="J203" i="19" l="1"/>
  <c r="K203" i="19"/>
  <c r="L203" i="19"/>
  <c r="M203" i="19"/>
  <c r="I203" i="19"/>
  <c r="D110" i="27"/>
  <c r="C110" i="27"/>
  <c r="D105" i="27"/>
  <c r="D97" i="27"/>
  <c r="D85" i="27"/>
  <c r="C85" i="27"/>
  <c r="D84" i="27"/>
  <c r="C84" i="27"/>
  <c r="D83" i="27"/>
  <c r="C83" i="27"/>
  <c r="D82" i="27"/>
  <c r="D89" i="27" s="1"/>
  <c r="C82" i="27"/>
  <c r="C89" i="27" s="1"/>
  <c r="D81" i="27"/>
  <c r="C81" i="27"/>
  <c r="D79" i="27"/>
  <c r="C79" i="27"/>
  <c r="D78" i="27"/>
  <c r="D102" i="27" s="1"/>
  <c r="C78" i="27"/>
  <c r="C102" i="27" s="1"/>
  <c r="D77" i="27"/>
  <c r="D69" i="27"/>
  <c r="C69" i="27"/>
  <c r="D67" i="27"/>
  <c r="C67" i="27"/>
  <c r="D66" i="27"/>
  <c r="D65" i="27"/>
  <c r="C65" i="27"/>
  <c r="D64" i="27"/>
  <c r="C64" i="27"/>
  <c r="D63" i="27"/>
  <c r="C63" i="27"/>
  <c r="D62" i="27"/>
  <c r="C62" i="27"/>
  <c r="D58" i="27"/>
  <c r="D57" i="27"/>
  <c r="C57" i="27"/>
  <c r="D55" i="27"/>
  <c r="C55" i="27"/>
  <c r="D54" i="27"/>
  <c r="C54" i="27"/>
  <c r="D53" i="27"/>
  <c r="C53" i="27"/>
  <c r="D52" i="27"/>
  <c r="C52" i="27"/>
  <c r="D48" i="27"/>
  <c r="C48" i="27"/>
  <c r="D47" i="27"/>
  <c r="D100" i="27" s="1"/>
  <c r="D108" i="27" s="1"/>
  <c r="C47" i="27"/>
  <c r="C100" i="27" s="1"/>
  <c r="C108" i="27" s="1"/>
  <c r="D45" i="27"/>
  <c r="D99" i="27" s="1"/>
  <c r="D107" i="27" s="1"/>
  <c r="C45" i="27"/>
  <c r="C99" i="27" s="1"/>
  <c r="C107" i="27" s="1"/>
  <c r="D44" i="27"/>
  <c r="D98" i="27" s="1"/>
  <c r="D106" i="27" s="1"/>
  <c r="C44" i="27"/>
  <c r="C98" i="27" s="1"/>
  <c r="C106" i="27" s="1"/>
  <c r="D43" i="27"/>
  <c r="C43" i="27"/>
  <c r="C97" i="27" s="1"/>
  <c r="C105" i="27" s="1"/>
  <c r="D42" i="27"/>
  <c r="D96" i="27" s="1"/>
  <c r="D104" i="27" s="1"/>
  <c r="C42" i="27"/>
  <c r="C96" i="27" s="1"/>
  <c r="C104" i="27" s="1"/>
  <c r="E38" i="27"/>
  <c r="E37" i="27"/>
  <c r="E36" i="27"/>
  <c r="E35" i="27"/>
  <c r="D34" i="27"/>
  <c r="D68" i="27" s="1"/>
  <c r="C34" i="27"/>
  <c r="C77" i="27" s="1"/>
  <c r="D33" i="27"/>
  <c r="D76" i="27" s="1"/>
  <c r="C33" i="27"/>
  <c r="C76" i="27" s="1"/>
  <c r="E32" i="27"/>
  <c r="D32" i="27"/>
  <c r="D75" i="27" s="1"/>
  <c r="C32" i="27"/>
  <c r="C58" i="27" s="1"/>
  <c r="D31" i="27"/>
  <c r="E31" i="27" s="1"/>
  <c r="C31" i="27"/>
  <c r="C74" i="27" s="1"/>
  <c r="E30" i="27"/>
  <c r="D29" i="27"/>
  <c r="C29" i="27"/>
  <c r="C80" i="27" s="1"/>
  <c r="E28" i="27"/>
  <c r="E27" i="27"/>
  <c r="D26" i="27"/>
  <c r="C26" i="27"/>
  <c r="C66" i="27" s="1"/>
  <c r="D24" i="27"/>
  <c r="C24" i="27"/>
  <c r="D23" i="27"/>
  <c r="D46" i="27" s="1"/>
  <c r="C23" i="27"/>
  <c r="C46" i="27" s="1"/>
  <c r="E22" i="27"/>
  <c r="D21" i="27"/>
  <c r="E21" i="27" s="1"/>
  <c r="C21" i="27"/>
  <c r="E20" i="27"/>
  <c r="E19" i="27"/>
  <c r="E18" i="27"/>
  <c r="D17" i="27"/>
  <c r="E17" i="27" s="1"/>
  <c r="C17" i="27"/>
  <c r="E16" i="27"/>
  <c r="E15" i="27"/>
  <c r="E14" i="27"/>
  <c r="D13" i="27"/>
  <c r="C13" i="27"/>
  <c r="E12" i="27"/>
  <c r="E11" i="27"/>
  <c r="E10" i="27"/>
  <c r="D9" i="27"/>
  <c r="C9" i="27"/>
  <c r="E8" i="27"/>
  <c r="E7" i="27"/>
  <c r="E13" i="27" l="1"/>
  <c r="E24" i="27"/>
  <c r="D25" i="27"/>
  <c r="E25" i="27" s="1"/>
  <c r="C25" i="27"/>
  <c r="E29" i="27"/>
  <c r="D56" i="27"/>
  <c r="E9" i="27"/>
  <c r="C101" i="27"/>
  <c r="C109" i="27" s="1"/>
  <c r="C87" i="27"/>
  <c r="D49" i="27"/>
  <c r="D74" i="27"/>
  <c r="E23" i="27"/>
  <c r="E33" i="27"/>
  <c r="C56" i="27"/>
  <c r="C75" i="27"/>
  <c r="C88" i="27"/>
  <c r="D88" i="27"/>
  <c r="E26" i="27"/>
  <c r="C68" i="27"/>
  <c r="E34" i="27"/>
  <c r="D80" i="27"/>
  <c r="C49" i="27"/>
  <c r="D101" i="27" l="1"/>
  <c r="D109" i="27" s="1"/>
  <c r="D87" i="27"/>
  <c r="E31" i="20" l="1"/>
  <c r="B31" i="20"/>
  <c r="F30" i="20"/>
  <c r="F31" i="20" s="1"/>
  <c r="E30" i="20"/>
  <c r="D30" i="20"/>
  <c r="D31" i="20" s="1"/>
  <c r="C30" i="20"/>
  <c r="C31" i="20" s="1"/>
  <c r="L29" i="20"/>
  <c r="K29" i="20"/>
  <c r="J29" i="20"/>
  <c r="I29" i="20"/>
  <c r="H29" i="20"/>
  <c r="L28" i="20"/>
  <c r="K28" i="20"/>
  <c r="J28" i="20"/>
  <c r="I28" i="20"/>
  <c r="H28" i="20"/>
  <c r="L27" i="20"/>
  <c r="K27" i="20"/>
  <c r="J27" i="20"/>
  <c r="I27" i="20"/>
  <c r="H27" i="20"/>
  <c r="L30" i="20" s="1"/>
  <c r="L26" i="20"/>
  <c r="L31" i="20" s="1"/>
  <c r="K26" i="20"/>
  <c r="J26" i="20"/>
  <c r="I26" i="20"/>
  <c r="H26" i="20"/>
  <c r="C24" i="20"/>
  <c r="F22" i="20"/>
  <c r="E22" i="20"/>
  <c r="D22" i="20"/>
  <c r="C22" i="20"/>
  <c r="L21" i="20"/>
  <c r="K21" i="20"/>
  <c r="J21" i="20"/>
  <c r="I21" i="20"/>
  <c r="H21" i="20"/>
  <c r="I22" i="20" s="1"/>
  <c r="L20" i="20"/>
  <c r="K20" i="20"/>
  <c r="J20" i="20"/>
  <c r="I20" i="20"/>
  <c r="H20" i="20"/>
  <c r="L19" i="20"/>
  <c r="K19" i="20"/>
  <c r="J19" i="20"/>
  <c r="K22" i="20" s="1"/>
  <c r="K23" i="20" s="1"/>
  <c r="I19" i="20"/>
  <c r="H19" i="20"/>
  <c r="J22" i="20" s="1"/>
  <c r="L18" i="20"/>
  <c r="K18" i="20"/>
  <c r="J18" i="20"/>
  <c r="I18" i="20"/>
  <c r="H18" i="20"/>
  <c r="H23" i="20" s="1"/>
  <c r="L17" i="20"/>
  <c r="K17" i="20"/>
  <c r="J17" i="20"/>
  <c r="I17" i="20"/>
  <c r="H17" i="20"/>
  <c r="L16" i="20"/>
  <c r="K16" i="20"/>
  <c r="J16" i="20"/>
  <c r="I16" i="20"/>
  <c r="H16" i="20"/>
  <c r="L15" i="20"/>
  <c r="K15" i="20"/>
  <c r="J15" i="20"/>
  <c r="I15" i="20"/>
  <c r="H15" i="20"/>
  <c r="L14" i="20"/>
  <c r="K14" i="20"/>
  <c r="J14" i="20"/>
  <c r="I14" i="20"/>
  <c r="H14" i="20"/>
  <c r="L13" i="20"/>
  <c r="K13" i="20"/>
  <c r="J13" i="20"/>
  <c r="I13" i="20"/>
  <c r="H13" i="20"/>
  <c r="L12" i="20"/>
  <c r="K12" i="20"/>
  <c r="J12" i="20"/>
  <c r="I12" i="20"/>
  <c r="H12" i="20"/>
  <c r="K11" i="20"/>
  <c r="J11" i="20"/>
  <c r="I11" i="20"/>
  <c r="F11" i="20"/>
  <c r="L11" i="20" s="1"/>
  <c r="E11" i="20"/>
  <c r="E24" i="20" s="1"/>
  <c r="D11" i="20"/>
  <c r="D24" i="20" s="1"/>
  <c r="C11" i="20"/>
  <c r="B11" i="20"/>
  <c r="B24" i="20" s="1"/>
  <c r="L10" i="20"/>
  <c r="K10" i="20"/>
  <c r="J10" i="20"/>
  <c r="I10" i="20"/>
  <c r="H10" i="20"/>
  <c r="L9" i="20"/>
  <c r="K9" i="20"/>
  <c r="J9" i="20"/>
  <c r="I9" i="20"/>
  <c r="H9" i="20"/>
  <c r="L8" i="20"/>
  <c r="K8" i="20"/>
  <c r="J8" i="20"/>
  <c r="I8" i="20"/>
  <c r="H8" i="20"/>
  <c r="L7" i="20"/>
  <c r="K7" i="20"/>
  <c r="J7" i="20"/>
  <c r="J24" i="20" s="1"/>
  <c r="I7" i="20"/>
  <c r="H7" i="20"/>
  <c r="L6" i="20"/>
  <c r="K6" i="20"/>
  <c r="K24" i="20" s="1"/>
  <c r="J6" i="20"/>
  <c r="I6" i="20"/>
  <c r="I24" i="20" s="1"/>
  <c r="H6" i="20"/>
  <c r="H35" i="20" l="1"/>
  <c r="H24" i="20"/>
  <c r="H34" i="20" s="1"/>
  <c r="I23" i="20"/>
  <c r="L24" i="20"/>
  <c r="L34" i="20" s="1"/>
  <c r="J23" i="20"/>
  <c r="L22" i="20"/>
  <c r="L23" i="20" s="1"/>
  <c r="L35" i="20" s="1"/>
  <c r="I30" i="20"/>
  <c r="I31" i="20" s="1"/>
  <c r="I34" i="20" s="1"/>
  <c r="J30" i="20"/>
  <c r="J31" i="20" s="1"/>
  <c r="J34" i="20" s="1"/>
  <c r="H31" i="20"/>
  <c r="H11" i="20"/>
  <c r="F24" i="20"/>
  <c r="K30" i="20"/>
  <c r="K31" i="20" s="1"/>
  <c r="K34" i="20" s="1"/>
  <c r="H55" i="24"/>
  <c r="G55" i="24"/>
  <c r="F55" i="24"/>
  <c r="E55" i="24"/>
  <c r="D55" i="24"/>
  <c r="G54" i="24"/>
  <c r="F54" i="24"/>
  <c r="E54" i="24"/>
  <c r="D54" i="24"/>
  <c r="H46" i="24"/>
  <c r="H54" i="24" s="1"/>
  <c r="H42" i="24"/>
  <c r="G42" i="24"/>
  <c r="F42" i="24"/>
  <c r="E42" i="24"/>
  <c r="D42" i="24"/>
  <c r="H41" i="24"/>
  <c r="G41" i="24"/>
  <c r="F41" i="24"/>
  <c r="E41" i="24"/>
  <c r="D41" i="24"/>
  <c r="H33" i="24"/>
  <c r="H28" i="24"/>
  <c r="G28" i="24"/>
  <c r="F28" i="24"/>
  <c r="E28" i="24"/>
  <c r="D28" i="24"/>
  <c r="H27" i="24"/>
  <c r="G27" i="24"/>
  <c r="F27" i="24"/>
  <c r="E27" i="24"/>
  <c r="D27" i="24"/>
  <c r="H19" i="24"/>
  <c r="H14" i="24"/>
  <c r="G14" i="24"/>
  <c r="F14" i="24"/>
  <c r="E14" i="24"/>
  <c r="D14" i="24"/>
  <c r="G13" i="24"/>
  <c r="F13" i="24"/>
  <c r="E13" i="24"/>
  <c r="D13" i="24"/>
  <c r="H5" i="24"/>
  <c r="H13" i="24" s="1"/>
  <c r="I35" i="20" l="1"/>
  <c r="I36" i="20" s="1"/>
  <c r="M34" i="20"/>
  <c r="H36" i="20"/>
  <c r="J35" i="20"/>
  <c r="J36" i="20" s="1"/>
  <c r="K35" i="20"/>
  <c r="K36" i="20" s="1"/>
  <c r="L36" i="20"/>
  <c r="E9" i="22"/>
  <c r="D9" i="22"/>
  <c r="C9" i="22"/>
  <c r="B9" i="22"/>
  <c r="M36" i="20" l="1"/>
  <c r="M35" i="20"/>
  <c r="F58" i="21"/>
  <c r="D58" i="21"/>
  <c r="C58" i="21"/>
  <c r="B58" i="21"/>
  <c r="F57" i="21"/>
  <c r="D57" i="21"/>
  <c r="C57" i="21"/>
  <c r="B57" i="21"/>
  <c r="F56" i="21"/>
  <c r="D56" i="21"/>
  <c r="C56" i="21"/>
  <c r="B56" i="21"/>
  <c r="F55" i="21"/>
  <c r="D55" i="21"/>
  <c r="C55" i="21"/>
  <c r="B55" i="21"/>
  <c r="F54" i="21"/>
  <c r="D54" i="21"/>
  <c r="C54" i="21"/>
  <c r="B54" i="21"/>
  <c r="F53" i="21"/>
  <c r="D53" i="21"/>
  <c r="C53" i="21"/>
  <c r="B53" i="21"/>
  <c r="F52" i="21"/>
  <c r="E52" i="21"/>
  <c r="D52" i="21"/>
  <c r="C52" i="21"/>
  <c r="B52" i="21"/>
  <c r="F51" i="21"/>
  <c r="E51" i="21"/>
  <c r="D51" i="21"/>
  <c r="C51" i="21"/>
  <c r="F50" i="21"/>
  <c r="E50" i="21"/>
  <c r="D50" i="21"/>
  <c r="C50" i="21"/>
  <c r="B50" i="21"/>
  <c r="F49" i="21"/>
  <c r="E49" i="21"/>
  <c r="D49" i="21"/>
  <c r="C49" i="21"/>
  <c r="B49" i="21"/>
  <c r="F48" i="21"/>
  <c r="E48" i="21"/>
  <c r="D48" i="21"/>
  <c r="C48" i="21"/>
  <c r="B48" i="21"/>
  <c r="L37" i="21"/>
  <c r="K37" i="21"/>
  <c r="J37" i="21"/>
  <c r="I37" i="21"/>
  <c r="H37" i="21"/>
  <c r="E37" i="21"/>
  <c r="D37" i="21"/>
  <c r="C37" i="21"/>
  <c r="B37" i="21"/>
  <c r="L36" i="21"/>
  <c r="K36" i="21"/>
  <c r="J36" i="21"/>
  <c r="I36" i="21"/>
  <c r="H36" i="21"/>
  <c r="F35" i="21"/>
  <c r="F39" i="21" s="1"/>
  <c r="E35" i="21"/>
  <c r="K35" i="21" s="1"/>
  <c r="B35" i="21"/>
  <c r="H35" i="21" s="1"/>
  <c r="L34" i="21"/>
  <c r="K34" i="21"/>
  <c r="J34" i="21"/>
  <c r="I34" i="21"/>
  <c r="H34" i="21"/>
  <c r="L33" i="21"/>
  <c r="K33" i="21"/>
  <c r="J33" i="21"/>
  <c r="I33" i="21"/>
  <c r="H33" i="21"/>
  <c r="L32" i="21"/>
  <c r="K32" i="21"/>
  <c r="J32" i="21"/>
  <c r="I32" i="21"/>
  <c r="H32" i="21"/>
  <c r="L31" i="21"/>
  <c r="K31" i="21"/>
  <c r="J31" i="21"/>
  <c r="I31" i="21"/>
  <c r="H31" i="21"/>
  <c r="L30" i="21"/>
  <c r="K30" i="21"/>
  <c r="J30" i="21"/>
  <c r="I30" i="21"/>
  <c r="H30" i="21"/>
  <c r="L29" i="21"/>
  <c r="K29" i="21"/>
  <c r="J29" i="21"/>
  <c r="I29" i="21"/>
  <c r="H29" i="21"/>
  <c r="L28" i="21"/>
  <c r="K28" i="21"/>
  <c r="J28" i="21"/>
  <c r="I28" i="21"/>
  <c r="H28" i="21"/>
  <c r="L27" i="21"/>
  <c r="K27" i="21"/>
  <c r="J27" i="21"/>
  <c r="I27" i="21"/>
  <c r="H27" i="21"/>
  <c r="L26" i="21"/>
  <c r="K26" i="21"/>
  <c r="J26" i="21"/>
  <c r="I26" i="21"/>
  <c r="H26" i="21"/>
  <c r="L25" i="21"/>
  <c r="K25" i="21"/>
  <c r="J25" i="21"/>
  <c r="I25" i="21"/>
  <c r="H25" i="21"/>
  <c r="L24" i="21"/>
  <c r="K24" i="21"/>
  <c r="J24" i="21"/>
  <c r="I24" i="21"/>
  <c r="H24" i="21"/>
  <c r="L23" i="21"/>
  <c r="K23" i="21"/>
  <c r="J23" i="21"/>
  <c r="I23" i="21"/>
  <c r="H23" i="21"/>
  <c r="L22" i="21"/>
  <c r="K22" i="21"/>
  <c r="J22" i="21"/>
  <c r="I22" i="21"/>
  <c r="H22" i="21"/>
  <c r="L21" i="21"/>
  <c r="K21" i="21"/>
  <c r="J21" i="21"/>
  <c r="I21" i="21"/>
  <c r="H21" i="21"/>
  <c r="L20" i="21"/>
  <c r="K20" i="21"/>
  <c r="J20" i="21"/>
  <c r="I20" i="21"/>
  <c r="H20" i="21"/>
  <c r="L19" i="21"/>
  <c r="K19" i="21"/>
  <c r="J19" i="21"/>
  <c r="I19" i="21"/>
  <c r="H19" i="21"/>
  <c r="L18" i="21"/>
  <c r="K18" i="21"/>
  <c r="J18" i="21"/>
  <c r="I18" i="21"/>
  <c r="H18" i="21"/>
  <c r="L17" i="21"/>
  <c r="H17" i="21"/>
  <c r="F17" i="21"/>
  <c r="E17" i="21"/>
  <c r="K17" i="21" s="1"/>
  <c r="D17" i="21"/>
  <c r="D35" i="21" s="1"/>
  <c r="C17" i="21"/>
  <c r="C35" i="21" s="1"/>
  <c r="B17" i="21"/>
  <c r="L16" i="21"/>
  <c r="K16" i="21"/>
  <c r="J16" i="21"/>
  <c r="I16" i="21"/>
  <c r="H16" i="21"/>
  <c r="L15" i="21"/>
  <c r="K15" i="21"/>
  <c r="J15" i="21"/>
  <c r="I15" i="21"/>
  <c r="H15" i="21"/>
  <c r="L14" i="21"/>
  <c r="K14" i="21"/>
  <c r="J14" i="21"/>
  <c r="I14" i="21"/>
  <c r="H14" i="21"/>
  <c r="L13" i="21"/>
  <c r="K13" i="21"/>
  <c r="J13" i="21"/>
  <c r="I13" i="21"/>
  <c r="H13" i="21"/>
  <c r="L12" i="21"/>
  <c r="K12" i="21"/>
  <c r="J12" i="21"/>
  <c r="I12" i="21"/>
  <c r="H12" i="21"/>
  <c r="L11" i="21"/>
  <c r="K11" i="21"/>
  <c r="J11" i="21"/>
  <c r="I11" i="21"/>
  <c r="H11" i="21"/>
  <c r="L10" i="21"/>
  <c r="K10" i="21"/>
  <c r="J10" i="21"/>
  <c r="I10" i="21"/>
  <c r="H10" i="21"/>
  <c r="L9" i="21"/>
  <c r="K9" i="21"/>
  <c r="J9" i="21"/>
  <c r="I9" i="21"/>
  <c r="H9" i="21"/>
  <c r="L8" i="21"/>
  <c r="K8" i="21"/>
  <c r="J8" i="21"/>
  <c r="I8" i="21"/>
  <c r="H8" i="21"/>
  <c r="L7" i="21"/>
  <c r="K7" i="21"/>
  <c r="J7" i="21"/>
  <c r="I7" i="21"/>
  <c r="H7" i="21"/>
  <c r="L6" i="21"/>
  <c r="K6" i="21"/>
  <c r="J6" i="21"/>
  <c r="I6" i="21"/>
  <c r="H6" i="21"/>
  <c r="L5" i="21"/>
  <c r="K5" i="21"/>
  <c r="J5" i="21"/>
  <c r="I5" i="21"/>
  <c r="H5" i="21"/>
  <c r="C39" i="21" l="1"/>
  <c r="I35" i="21"/>
  <c r="D39" i="21"/>
  <c r="J35" i="21"/>
  <c r="E39" i="21"/>
  <c r="I17" i="21"/>
  <c r="J17" i="21"/>
  <c r="B39" i="21"/>
  <c r="G39" i="21" s="1"/>
  <c r="L35" i="21"/>
  <c r="O201" i="19" l="1"/>
  <c r="M201" i="19"/>
  <c r="L201" i="19"/>
  <c r="K201" i="19"/>
  <c r="J201" i="19"/>
  <c r="I201" i="19"/>
  <c r="P200" i="19"/>
  <c r="M200" i="19"/>
  <c r="L200" i="19"/>
  <c r="K200" i="19"/>
  <c r="J200" i="19"/>
  <c r="I200" i="19"/>
  <c r="S196" i="19"/>
  <c r="R196" i="19"/>
  <c r="Q196" i="19"/>
  <c r="I196" i="19"/>
  <c r="S195" i="19"/>
  <c r="R195" i="19"/>
  <c r="Q195" i="19"/>
  <c r="P195" i="19"/>
  <c r="O195" i="19"/>
  <c r="M195" i="19"/>
  <c r="S201" i="19" s="1"/>
  <c r="L195" i="19"/>
  <c r="R201" i="19" s="1"/>
  <c r="K195" i="19"/>
  <c r="Q201" i="19" s="1"/>
  <c r="J195" i="19"/>
  <c r="P201" i="19" s="1"/>
  <c r="I195" i="19"/>
  <c r="S194" i="19"/>
  <c r="R194" i="19"/>
  <c r="Q194" i="19"/>
  <c r="P194" i="19"/>
  <c r="P196" i="19" s="1"/>
  <c r="O194" i="19"/>
  <c r="O196" i="19" s="1"/>
  <c r="M194" i="19"/>
  <c r="M196" i="19" s="1"/>
  <c r="L194" i="19"/>
  <c r="L196" i="19" s="1"/>
  <c r="K194" i="19"/>
  <c r="K196" i="19" s="1"/>
  <c r="J194" i="19"/>
  <c r="I194" i="19"/>
  <c r="S179" i="19"/>
  <c r="R179" i="19"/>
  <c r="Q179" i="19"/>
  <c r="P179" i="19"/>
  <c r="O179" i="19"/>
  <c r="M179" i="19"/>
  <c r="L179" i="19"/>
  <c r="K179" i="19"/>
  <c r="J179" i="19"/>
  <c r="I179" i="19"/>
  <c r="S177" i="19"/>
  <c r="R177" i="19"/>
  <c r="Q177" i="19"/>
  <c r="P177" i="19"/>
  <c r="O177" i="19"/>
  <c r="M177" i="19"/>
  <c r="L177" i="19"/>
  <c r="K177" i="19"/>
  <c r="J177" i="19"/>
  <c r="I177" i="19"/>
  <c r="S176" i="19"/>
  <c r="R176" i="19"/>
  <c r="Q176" i="19"/>
  <c r="P176" i="19"/>
  <c r="O176" i="19"/>
  <c r="M176" i="19"/>
  <c r="L176" i="19"/>
  <c r="K176" i="19"/>
  <c r="J176" i="19"/>
  <c r="I176" i="19"/>
  <c r="S175" i="19"/>
  <c r="R175" i="19"/>
  <c r="Q175" i="19"/>
  <c r="P175" i="19"/>
  <c r="O175" i="19"/>
  <c r="M175" i="19"/>
  <c r="L175" i="19"/>
  <c r="K175" i="19"/>
  <c r="J175" i="19"/>
  <c r="I175" i="19"/>
  <c r="S174" i="19"/>
  <c r="R174" i="19"/>
  <c r="Q174" i="19"/>
  <c r="P174" i="19"/>
  <c r="O174" i="19"/>
  <c r="M174" i="19"/>
  <c r="L174" i="19"/>
  <c r="K174" i="19"/>
  <c r="J174" i="19"/>
  <c r="I174" i="19"/>
  <c r="S173" i="19"/>
  <c r="R173" i="19"/>
  <c r="Q173" i="19"/>
  <c r="P173" i="19"/>
  <c r="O173" i="19"/>
  <c r="M173" i="19"/>
  <c r="L173" i="19"/>
  <c r="K173" i="19"/>
  <c r="J173" i="19"/>
  <c r="I173" i="19"/>
  <c r="S171" i="19"/>
  <c r="S187" i="19" s="1"/>
  <c r="R171" i="19"/>
  <c r="R187" i="19" s="1"/>
  <c r="Q171" i="19"/>
  <c r="Q187" i="19" s="1"/>
  <c r="P171" i="19"/>
  <c r="P187" i="19" s="1"/>
  <c r="O171" i="19"/>
  <c r="O187" i="19" s="1"/>
  <c r="M171" i="19"/>
  <c r="M187" i="19" s="1"/>
  <c r="L171" i="19"/>
  <c r="L187" i="19" s="1"/>
  <c r="K171" i="19"/>
  <c r="K187" i="19" s="1"/>
  <c r="J171" i="19"/>
  <c r="J187" i="19" s="1"/>
  <c r="I171" i="19"/>
  <c r="I187" i="19" s="1"/>
  <c r="S170" i="19"/>
  <c r="R170" i="19"/>
  <c r="Q170" i="19"/>
  <c r="P170" i="19"/>
  <c r="O170" i="19"/>
  <c r="M170" i="19"/>
  <c r="L170" i="19"/>
  <c r="K170" i="19"/>
  <c r="J170" i="19"/>
  <c r="I170" i="19"/>
  <c r="S168" i="19"/>
  <c r="S184" i="19" s="1"/>
  <c r="R168" i="19"/>
  <c r="R184" i="19" s="1"/>
  <c r="Q168" i="19"/>
  <c r="Q184" i="19" s="1"/>
  <c r="P168" i="19"/>
  <c r="P184" i="19" s="1"/>
  <c r="O168" i="19"/>
  <c r="O184" i="19" s="1"/>
  <c r="M168" i="19"/>
  <c r="M184" i="19" s="1"/>
  <c r="L168" i="19"/>
  <c r="L184" i="19" s="1"/>
  <c r="K168" i="19"/>
  <c r="K184" i="19" s="1"/>
  <c r="J168" i="19"/>
  <c r="J184" i="19" s="1"/>
  <c r="I168" i="19"/>
  <c r="I184" i="19" s="1"/>
  <c r="S167" i="19"/>
  <c r="S183" i="19" s="1"/>
  <c r="R167" i="19"/>
  <c r="R183" i="19" s="1"/>
  <c r="Q167" i="19"/>
  <c r="Q183" i="19" s="1"/>
  <c r="P167" i="19"/>
  <c r="P183" i="19" s="1"/>
  <c r="O167" i="19"/>
  <c r="O183" i="19" s="1"/>
  <c r="M167" i="19"/>
  <c r="M183" i="19" s="1"/>
  <c r="L167" i="19"/>
  <c r="L183" i="19" s="1"/>
  <c r="K167" i="19"/>
  <c r="K183" i="19" s="1"/>
  <c r="J167" i="19"/>
  <c r="J183" i="19" s="1"/>
  <c r="I167" i="19"/>
  <c r="I183" i="19" s="1"/>
  <c r="S166" i="19"/>
  <c r="S182" i="19" s="1"/>
  <c r="R166" i="19"/>
  <c r="R182" i="19" s="1"/>
  <c r="Q166" i="19"/>
  <c r="Q182" i="19" s="1"/>
  <c r="P166" i="19"/>
  <c r="P182" i="19" s="1"/>
  <c r="O166" i="19"/>
  <c r="O182" i="19" s="1"/>
  <c r="M166" i="19"/>
  <c r="M182" i="19" s="1"/>
  <c r="L166" i="19"/>
  <c r="L182" i="19" s="1"/>
  <c r="K166" i="19"/>
  <c r="K182" i="19" s="1"/>
  <c r="J166" i="19"/>
  <c r="J182" i="19" s="1"/>
  <c r="I166" i="19"/>
  <c r="I182" i="19" s="1"/>
  <c r="S165" i="19"/>
  <c r="S181" i="19" s="1"/>
  <c r="R165" i="19"/>
  <c r="R181" i="19" s="1"/>
  <c r="Q165" i="19"/>
  <c r="Q181" i="19" s="1"/>
  <c r="P165" i="19"/>
  <c r="P181" i="19" s="1"/>
  <c r="O165" i="19"/>
  <c r="O181" i="19" s="1"/>
  <c r="M165" i="19"/>
  <c r="M181" i="19" s="1"/>
  <c r="L165" i="19"/>
  <c r="L181" i="19" s="1"/>
  <c r="K165" i="19"/>
  <c r="K181" i="19" s="1"/>
  <c r="J165" i="19"/>
  <c r="J181" i="19" s="1"/>
  <c r="I165" i="19"/>
  <c r="I181" i="19" s="1"/>
  <c r="S157" i="19"/>
  <c r="R157" i="19"/>
  <c r="Q157" i="19"/>
  <c r="P157" i="19"/>
  <c r="O157" i="19"/>
  <c r="M157" i="19"/>
  <c r="L157" i="19"/>
  <c r="K157" i="19"/>
  <c r="J157" i="19"/>
  <c r="I157" i="19"/>
  <c r="S156" i="19"/>
  <c r="R156" i="19"/>
  <c r="Q156" i="19"/>
  <c r="P156" i="19"/>
  <c r="O156" i="19"/>
  <c r="M156" i="19"/>
  <c r="L156" i="19"/>
  <c r="K156" i="19"/>
  <c r="J156" i="19"/>
  <c r="I156" i="19"/>
  <c r="S153" i="19"/>
  <c r="R153" i="19"/>
  <c r="Q153" i="19"/>
  <c r="P153" i="19"/>
  <c r="O153" i="19"/>
  <c r="M153" i="19"/>
  <c r="L153" i="19"/>
  <c r="K153" i="19"/>
  <c r="J153" i="19"/>
  <c r="I153" i="19"/>
  <c r="S152" i="19"/>
  <c r="R152" i="19"/>
  <c r="Q152" i="19"/>
  <c r="Q159" i="19" s="1"/>
  <c r="Q160" i="19" s="1"/>
  <c r="P152" i="19"/>
  <c r="O152" i="19"/>
  <c r="M152" i="19"/>
  <c r="L152" i="19"/>
  <c r="K152" i="19"/>
  <c r="K159" i="19" s="1"/>
  <c r="K160" i="19" s="1"/>
  <c r="J152" i="19"/>
  <c r="I152" i="19"/>
  <c r="S149" i="19"/>
  <c r="S159" i="19" s="1"/>
  <c r="S160" i="19" s="1"/>
  <c r="R149" i="19"/>
  <c r="R159" i="19" s="1"/>
  <c r="R160" i="19" s="1"/>
  <c r="Q149" i="19"/>
  <c r="P149" i="19"/>
  <c r="P159" i="19" s="1"/>
  <c r="P160" i="19" s="1"/>
  <c r="O149" i="19"/>
  <c r="O159" i="19" s="1"/>
  <c r="O160" i="19" s="1"/>
  <c r="M149" i="19"/>
  <c r="M159" i="19" s="1"/>
  <c r="M160" i="19" s="1"/>
  <c r="L149" i="19"/>
  <c r="K149" i="19"/>
  <c r="J149" i="19"/>
  <c r="J159" i="19" s="1"/>
  <c r="J160" i="19" s="1"/>
  <c r="I149" i="19"/>
  <c r="I159" i="19" s="1"/>
  <c r="I160" i="19" s="1"/>
  <c r="S148" i="19"/>
  <c r="R148" i="19"/>
  <c r="Q148" i="19"/>
  <c r="P148" i="19"/>
  <c r="O148" i="19"/>
  <c r="M148" i="19"/>
  <c r="L148" i="19"/>
  <c r="L159" i="19" s="1"/>
  <c r="L160" i="19" s="1"/>
  <c r="K148" i="19"/>
  <c r="J148" i="19"/>
  <c r="I148" i="19"/>
  <c r="X146" i="19"/>
  <c r="W146" i="19"/>
  <c r="V146" i="19"/>
  <c r="U146" i="19"/>
  <c r="T146" i="19"/>
  <c r="O200" i="19" l="1"/>
  <c r="J196" i="19"/>
  <c r="Q200" i="19"/>
  <c r="R200" i="19"/>
  <c r="S200" i="19"/>
  <c r="S26" i="13" l="1"/>
  <c r="S25" i="13"/>
  <c r="S24" i="13"/>
  <c r="S23" i="13"/>
  <c r="S22" i="13"/>
  <c r="S21" i="13"/>
  <c r="S20" i="13"/>
  <c r="S19" i="13"/>
  <c r="S18" i="13"/>
  <c r="S17" i="13"/>
  <c r="S16" i="13"/>
  <c r="S15" i="13"/>
  <c r="S14" i="13"/>
  <c r="S13" i="13"/>
  <c r="S12" i="13"/>
  <c r="S11" i="13"/>
  <c r="S10" i="13"/>
  <c r="S9" i="13"/>
  <c r="S8" i="13"/>
  <c r="S7" i="13"/>
  <c r="S6" i="13"/>
  <c r="S5" i="13"/>
  <c r="S4" i="13"/>
  <c r="S3" i="13"/>
  <c r="S2" i="13"/>
  <c r="F33" i="13" l="1"/>
  <c r="F34" i="13"/>
  <c r="F31" i="13"/>
  <c r="F32" i="13"/>
  <c r="F35" i="13"/>
  <c r="G31" i="13"/>
  <c r="G32" i="13"/>
  <c r="G33" i="13"/>
  <c r="G34" i="13"/>
  <c r="G35" i="13"/>
  <c r="D31" i="13"/>
  <c r="H31" i="13"/>
  <c r="D32" i="13"/>
  <c r="H32" i="13"/>
  <c r="D33" i="13"/>
  <c r="H33" i="13"/>
  <c r="D34" i="13"/>
  <c r="H34" i="13"/>
  <c r="D35" i="13"/>
  <c r="H35" i="13"/>
  <c r="E31" i="13"/>
  <c r="I31" i="13"/>
  <c r="E32" i="13"/>
  <c r="I32" i="13"/>
  <c r="E33" i="13"/>
  <c r="I33" i="13"/>
  <c r="E34" i="13"/>
  <c r="I34" i="13"/>
  <c r="E35" i="13"/>
  <c r="I35" i="13"/>
  <c r="J34" i="13" l="1"/>
  <c r="J33" i="13"/>
  <c r="J32" i="13"/>
  <c r="J35" i="13"/>
  <c r="J31" i="13"/>
  <c r="C35" i="13"/>
  <c r="C33" i="13"/>
  <c r="C31" i="13"/>
  <c r="C34" i="13"/>
  <c r="C3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Hermanson, Lori</author>
  </authors>
  <commentList>
    <comment ref="C17" authorId="0" shapeId="0" xr:uid="{4BCE2748-333E-46E7-86C6-D840E260AE1C}">
      <text>
        <r>
          <rPr>
            <b/>
            <sz val="9"/>
            <color indexed="81"/>
            <rFont val="Tahoma"/>
            <family val="2"/>
          </rPr>
          <t>Hermanson, Lori:</t>
        </r>
        <r>
          <rPr>
            <sz val="9"/>
            <color indexed="81"/>
            <rFont val="Tahoma"/>
            <family val="2"/>
          </rPr>
          <t xml:space="preserve">
cust in named comm came from reliability indicator file from GIS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Hermanson, Lori</author>
  </authors>
  <commentList>
    <comment ref="G3" authorId="0" shapeId="0" xr:uid="{6F2C822D-8528-46A9-83E9-7AA974F51DAC}">
      <text>
        <r>
          <rPr>
            <b/>
            <sz val="9"/>
            <color indexed="81"/>
            <rFont val="Tahoma"/>
            <family val="2"/>
          </rPr>
          <t>Hermanson, Lori:</t>
        </r>
        <r>
          <rPr>
            <sz val="9"/>
            <color indexed="81"/>
            <rFont val="Tahoma"/>
            <family val="2"/>
          </rPr>
          <t xml:space="preserve">
from J Lyons I-937 rpts
</t>
        </r>
      </text>
    </comment>
    <comment ref="G4" authorId="0" shapeId="0" xr:uid="{1C9A4E11-06B1-488D-9E43-402F727BA1D5}">
      <text>
        <r>
          <rPr>
            <b/>
            <sz val="9"/>
            <color indexed="81"/>
            <rFont val="Tahoma"/>
            <family val="2"/>
          </rPr>
          <t>Hermanson, Lori:</t>
        </r>
        <r>
          <rPr>
            <sz val="9"/>
            <color indexed="81"/>
            <rFont val="Tahoma"/>
            <family val="2"/>
          </rPr>
          <t xml:space="preserve">
from I-937 reports
</t>
        </r>
      </text>
    </comment>
    <comment ref="A7" authorId="0" shapeId="0" xr:uid="{02EDBF4D-2E67-4DDE-9EF3-C071C6A73D7D}">
      <text>
        <r>
          <rPr>
            <b/>
            <sz val="9"/>
            <color indexed="81"/>
            <rFont val="Tahoma"/>
            <family val="2"/>
          </rPr>
          <t>Hermanson, Lori:</t>
        </r>
        <r>
          <rPr>
            <sz val="9"/>
            <color indexed="81"/>
            <rFont val="Tahoma"/>
            <family val="2"/>
          </rPr>
          <t xml:space="preserve">
on the borderline of a named community</t>
        </r>
      </text>
    </comment>
    <comment ref="A11" authorId="0" shapeId="0" xr:uid="{25BF243A-0769-4FC5-89FB-0A741211F385}">
      <text>
        <r>
          <rPr>
            <b/>
            <sz val="9"/>
            <color indexed="81"/>
            <rFont val="Tahoma"/>
            <family val="2"/>
          </rPr>
          <t>Hermanson, Lori:</t>
        </r>
        <r>
          <rPr>
            <sz val="9"/>
            <color indexed="81"/>
            <rFont val="Tahoma"/>
            <family val="2"/>
          </rPr>
          <t xml:space="preserve">
Per John Lyons - 95.4% clean</t>
        </r>
      </text>
    </comment>
    <comment ref="A30" authorId="0" shapeId="0" xr:uid="{D76FFAC2-EDEB-415E-81B9-64D744D46413}">
      <text>
        <r>
          <rPr>
            <b/>
            <sz val="9"/>
            <color indexed="81"/>
            <rFont val="Tahoma"/>
            <family val="2"/>
          </rPr>
          <t>Hermanson, Lori:</t>
        </r>
        <r>
          <rPr>
            <sz val="9"/>
            <color indexed="81"/>
            <rFont val="Tahoma"/>
            <family val="2"/>
          </rPr>
          <t xml:space="preserve">
add a fotenote to chapter re: cumulative effect of EE prior to 2016 is ignored for purposes of this chart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Gall</author>
  </authors>
  <commentList>
    <comment ref="G13" authorId="0" shapeId="0" xr:uid="{037D2B55-964A-4889-B96E-3F22FBBA2C88}">
      <text>
        <r>
          <rPr>
            <b/>
            <sz val="9"/>
            <color indexed="81"/>
            <rFont val="Tahoma"/>
            <family val="2"/>
          </rPr>
          <t xml:space="preserve">transformer limited
</t>
        </r>
      </text>
    </comment>
    <comment ref="H13" authorId="0" shapeId="0" xr:uid="{8910E9C0-CDC1-4DC5-B57C-EE56DF7F6030}">
      <text>
        <r>
          <rPr>
            <b/>
            <sz val="9"/>
            <color indexed="81"/>
            <rFont val="Tahoma"/>
            <family val="2"/>
          </rPr>
          <t>transformer limited</t>
        </r>
      </text>
    </comment>
    <comment ref="M13" authorId="0" shapeId="0" xr:uid="{264D0B34-86BD-4C8F-AB77-392A98F38FDF}">
      <text>
        <r>
          <rPr>
            <b/>
            <sz val="9"/>
            <color indexed="81"/>
            <rFont val="Tahoma"/>
            <family val="2"/>
          </rPr>
          <t>transformer limited</t>
        </r>
      </text>
    </comment>
    <comment ref="N13" authorId="0" shapeId="0" xr:uid="{64E829FD-38C8-49DE-A0BE-AB5086CB6D6A}">
      <text>
        <r>
          <rPr>
            <b/>
            <sz val="9"/>
            <color indexed="81"/>
            <rFont val="Tahoma"/>
            <family val="2"/>
          </rPr>
          <t>transformer limited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Hermanson, Lori</author>
  </authors>
  <commentList>
    <comment ref="F12" authorId="0" shapeId="0" xr:uid="{423103E8-0DFF-4311-8E88-67A900E36227}">
      <text>
        <r>
          <rPr>
            <b/>
            <sz val="9"/>
            <color indexed="81"/>
            <rFont val="Tahoma"/>
            <family val="2"/>
          </rPr>
          <t>Hermanson, Lori:</t>
        </r>
        <r>
          <rPr>
            <sz val="9"/>
            <color indexed="81"/>
            <rFont val="Tahoma"/>
            <family val="2"/>
          </rPr>
          <t xml:space="preserve">
lower gen due to a suspended outage
</t>
        </r>
      </text>
    </comment>
    <comment ref="A17" authorId="0" shapeId="0" xr:uid="{6CE9C6C1-1D6F-435A-A746-778DBF3F6190}">
      <text>
        <r>
          <rPr>
            <b/>
            <sz val="9"/>
            <color indexed="81"/>
            <rFont val="Tahoma"/>
            <family val="2"/>
          </rPr>
          <t>Hermanson, Lori:</t>
        </r>
        <r>
          <rPr>
            <sz val="9"/>
            <color indexed="81"/>
            <rFont val="Tahoma"/>
            <family val="2"/>
          </rPr>
          <t xml:space="preserve">
net of douglas exchange sale
</t>
        </r>
      </text>
    </comment>
    <comment ref="E37" authorId="0" shapeId="0" xr:uid="{FBAC2626-8764-4E6B-A5B6-26A4E47F62D8}">
      <text>
        <r>
          <rPr>
            <b/>
            <sz val="9"/>
            <color indexed="81"/>
            <rFont val="Tahoma"/>
            <family val="2"/>
          </rPr>
          <t>Hermanson, Lori:</t>
        </r>
        <r>
          <rPr>
            <sz val="9"/>
            <color indexed="81"/>
            <rFont val="Tahoma"/>
            <family val="2"/>
          </rPr>
          <t xml:space="preserve">
from March 2019 - CW is included in native load where previously it wasn't included so we added it in</t>
        </r>
      </text>
    </comment>
  </commentList>
</comments>
</file>

<file path=xl/sharedStrings.xml><?xml version="1.0" encoding="utf-8"?>
<sst xmlns="http://schemas.openxmlformats.org/spreadsheetml/2006/main" count="1572" uniqueCount="654">
  <si>
    <t>All</t>
  </si>
  <si>
    <t>Named</t>
  </si>
  <si>
    <t>Energy Assistance</t>
  </si>
  <si>
    <t>Location</t>
  </si>
  <si>
    <t>Program</t>
  </si>
  <si>
    <t>Total</t>
  </si>
  <si>
    <t>LI Weatherization</t>
  </si>
  <si>
    <t>Res Weatherization</t>
  </si>
  <si>
    <t>Outreach Events</t>
  </si>
  <si>
    <t>Energy Fairs</t>
  </si>
  <si>
    <t>Outreach</t>
  </si>
  <si>
    <t>Mobile</t>
  </si>
  <si>
    <t>Workshops</t>
  </si>
  <si>
    <t>Cust Count in Named Comm</t>
  </si>
  <si>
    <t>All Customers</t>
  </si>
  <si>
    <t>2021 YTD (June)</t>
  </si>
  <si>
    <t>Supplier Diversity %</t>
  </si>
  <si>
    <t>Small Business %</t>
  </si>
  <si>
    <t>Community %</t>
  </si>
  <si>
    <t>Affordability</t>
  </si>
  <si>
    <t>Community Development</t>
  </si>
  <si>
    <t>Environmental</t>
  </si>
  <si>
    <t>EAG</t>
  </si>
  <si>
    <t>OTHER         TOTAL</t>
  </si>
  <si>
    <t>#</t>
  </si>
  <si>
    <t>Proxy</t>
  </si>
  <si>
    <t>Data</t>
  </si>
  <si>
    <t>Communication</t>
  </si>
  <si>
    <t>Combined Total</t>
  </si>
  <si>
    <t>Rate of Participation in Existing Programs</t>
  </si>
  <si>
    <t>Number of appliances converted to efficient</t>
  </si>
  <si>
    <t>Number of households who are not energy burdened</t>
  </si>
  <si>
    <t> Equity Area Total</t>
  </si>
  <si>
    <t>Access to Clean Energy</t>
  </si>
  <si>
    <t>Accessibility of methods/modes of outreach and communication</t>
  </si>
  <si>
    <t>Number/percent of households reached by and utilizing EV</t>
  </si>
  <si>
    <t>Support to increase programs and promote awareness</t>
  </si>
  <si>
    <t>Number of new, authentic two-way relationships</t>
  </si>
  <si>
    <t>Number of households reached by broadband</t>
  </si>
  <si>
    <t>Workforce development programs for local jobs</t>
  </si>
  <si>
    <t>Dollars equitably invested in communities</t>
  </si>
  <si>
    <t>Visibility of ugly infrastructure</t>
  </si>
  <si>
    <t>Property values</t>
  </si>
  <si>
    <t>Equitable implementation of community-based programs</t>
  </si>
  <si>
    <r>
      <t> </t>
    </r>
    <r>
      <rPr>
        <b/>
        <sz val="10.5"/>
        <color rgb="FF000000"/>
        <rFont val="Arial"/>
        <family val="2"/>
      </rPr>
      <t> Equity Area Total</t>
    </r>
  </si>
  <si>
    <t>Energy Security/Resiliency</t>
  </si>
  <si>
    <t>Duration and Frequency of outages</t>
  </si>
  <si>
    <t>Backup energy sources available in Named Communities</t>
  </si>
  <si>
    <t>Proximity of reliable energy infrastructure</t>
  </si>
  <si>
    <t>Equity Area Total</t>
  </si>
  <si>
    <t>Locations "greened"</t>
  </si>
  <si>
    <t>Reduced risk of wildfires</t>
  </si>
  <si>
    <t>Natural and historic resource protections</t>
  </si>
  <si>
    <t>Reduced polluting emissions</t>
  </si>
  <si>
    <t>Locational environmental impacts equitably sited</t>
  </si>
  <si>
    <t>Health and Wellbeing</t>
  </si>
  <si>
    <t>Improvements in indoor and outdoor air quality</t>
  </si>
  <si>
    <t>Customers who are not stressed or anxious</t>
  </si>
  <si>
    <t>Initiatives addressing systemic racism</t>
  </si>
  <si>
    <t>Customers who feel they have authentic seat at table</t>
  </si>
  <si>
    <t>Active transportation opportunities.</t>
  </si>
  <si>
    <t>Adams</t>
  </si>
  <si>
    <t>Asotin</t>
  </si>
  <si>
    <t>Ferry</t>
  </si>
  <si>
    <t>Lincoln</t>
  </si>
  <si>
    <t>Spokane</t>
  </si>
  <si>
    <t>Stevens</t>
  </si>
  <si>
    <t>Whitman</t>
  </si>
  <si>
    <t>County</t>
  </si>
  <si>
    <t>Year</t>
  </si>
  <si>
    <t>Days with AQI</t>
  </si>
  <si>
    <t>Good Days</t>
  </si>
  <si>
    <t>Moderate Days</t>
  </si>
  <si>
    <t>Unhealthy for Sensitive Groups Days</t>
  </si>
  <si>
    <t>Unhealthy Days</t>
  </si>
  <si>
    <t>Very Unhealthy Days</t>
  </si>
  <si>
    <t>Hazardous Days</t>
  </si>
  <si>
    <t>Max AQI</t>
  </si>
  <si>
    <t>90th Percentile AQI</t>
  </si>
  <si>
    <t>Median AQI</t>
  </si>
  <si>
    <t>Days CO</t>
  </si>
  <si>
    <t>Days NO2</t>
  </si>
  <si>
    <t>Days Ozone</t>
  </si>
  <si>
    <t>Days SO2</t>
  </si>
  <si>
    <t>Days PM2.5</t>
  </si>
  <si>
    <t>Days PM10</t>
  </si>
  <si>
    <t>Population</t>
  </si>
  <si>
    <t>weighted average days</t>
  </si>
  <si>
    <t>2021 (YTD Thru June)</t>
  </si>
  <si>
    <t>Diversity</t>
  </si>
  <si>
    <t>Gender</t>
  </si>
  <si>
    <t>Racially Diverse</t>
  </si>
  <si>
    <t>Avista</t>
  </si>
  <si>
    <t>Workforce Availability</t>
  </si>
  <si>
    <t>Craft</t>
  </si>
  <si>
    <t>Non-Craft</t>
  </si>
  <si>
    <t>Managers and Directors</t>
  </si>
  <si>
    <t>Executive</t>
  </si>
  <si>
    <t>GEOID_Double</t>
  </si>
  <si>
    <t>HIC_Or_VulnerablePh2Flag</t>
  </si>
  <si>
    <t>HighlyImpactedCommunity</t>
  </si>
  <si>
    <t>VulnerablePopulationFlagPh2</t>
  </si>
  <si>
    <t>County_Name</t>
  </si>
  <si>
    <t>SPIDCountInCensusTract</t>
  </si>
  <si>
    <t>ACSDT5YR2018MedIncome</t>
  </si>
  <si>
    <t>FeederDesignation</t>
  </si>
  <si>
    <t>CAIDI_Yr1</t>
  </si>
  <si>
    <t>CAIDI_Yr2</t>
  </si>
  <si>
    <t>CAIDI_Yr3</t>
  </si>
  <si>
    <t>CAIDI_Yr4</t>
  </si>
  <si>
    <t>CAIDI_Yr5</t>
  </si>
  <si>
    <t>AvgCAIDI_5yr</t>
  </si>
  <si>
    <t>AvgCEMI_Yr1</t>
  </si>
  <si>
    <t>AvgCEMI_Yr2</t>
  </si>
  <si>
    <t>AvgCEMI_Yr3</t>
  </si>
  <si>
    <t>AvgCEMI_Yr4</t>
  </si>
  <si>
    <t>AvgCEMI_5Yr</t>
  </si>
  <si>
    <t>CustomerCount_Yr1</t>
  </si>
  <si>
    <t>CustomerCount_Yr2</t>
  </si>
  <si>
    <t>CustomerCount_Yr3</t>
  </si>
  <si>
    <t>CustomerCount_Yr4</t>
  </si>
  <si>
    <t>CustomerCount_Yr5</t>
  </si>
  <si>
    <t>AvgCEMI_Yr5</t>
  </si>
  <si>
    <t>Tribal_Lands__Yes_No_</t>
  </si>
  <si>
    <t>VulnerableCustomerAnalysisYr</t>
  </si>
  <si>
    <t>Environmental_Health_Disparitie</t>
  </si>
  <si>
    <t>CumulativeEnvHealthDispRank</t>
  </si>
  <si>
    <t>SensitivePopulationsRank</t>
  </si>
  <si>
    <t>SocioEconomicFactorsRank</t>
  </si>
  <si>
    <t>VulnerablePopulationFlagPh1</t>
  </si>
  <si>
    <t>VulnerableCombinedRank</t>
  </si>
  <si>
    <t>VulnerableCustomerAnalysis_Yr</t>
  </si>
  <si>
    <t>AFFGEOID</t>
  </si>
  <si>
    <t>GEOID</t>
  </si>
  <si>
    <t>Yes</t>
  </si>
  <si>
    <t>RURAL</t>
  </si>
  <si>
    <t>1400000US53065950100</t>
  </si>
  <si>
    <t>53065950100</t>
  </si>
  <si>
    <t>SU-UR</t>
  </si>
  <si>
    <t>No</t>
  </si>
  <si>
    <t>1400000US53063000500</t>
  </si>
  <si>
    <t>53063000500</t>
  </si>
  <si>
    <t>1400000US53065950800</t>
  </si>
  <si>
    <t>53065950800</t>
  </si>
  <si>
    <t>1400000US53019940000</t>
  </si>
  <si>
    <t>53019940000</t>
  </si>
  <si>
    <t>1400000US53001950200</t>
  </si>
  <si>
    <t>53001950200</t>
  </si>
  <si>
    <t>1400000US53063002300</t>
  </si>
  <si>
    <t>53063002300</t>
  </si>
  <si>
    <t>1400000US53065951100</t>
  </si>
  <si>
    <t>53065951100</t>
  </si>
  <si>
    <t>SU-RU</t>
  </si>
  <si>
    <t>1400000US53075000500</t>
  </si>
  <si>
    <t>53075000500</t>
  </si>
  <si>
    <t>1400000US53063001300</t>
  </si>
  <si>
    <t>53063001300</t>
  </si>
  <si>
    <t>1400000US53063010401</t>
  </si>
  <si>
    <t>53063010401</t>
  </si>
  <si>
    <t>1400000US53063010304</t>
  </si>
  <si>
    <t>53063010304</t>
  </si>
  <si>
    <t>SU-UR-RU</t>
  </si>
  <si>
    <t>1400000US53075000600</t>
  </si>
  <si>
    <t>53075000600</t>
  </si>
  <si>
    <t>1400000US53063000300</t>
  </si>
  <si>
    <t>53063000300</t>
  </si>
  <si>
    <t>SUBURB</t>
  </si>
  <si>
    <t>1400000US53063010800</t>
  </si>
  <si>
    <t>53063010800</t>
  </si>
  <si>
    <t>1400000US53063002400</t>
  </si>
  <si>
    <t>53063002400</t>
  </si>
  <si>
    <t>1400000US53063011102</t>
  </si>
  <si>
    <t>53063011102</t>
  </si>
  <si>
    <t>1400000US53065941000</t>
  </si>
  <si>
    <t>53065941000</t>
  </si>
  <si>
    <t>1400000US53063012500</t>
  </si>
  <si>
    <t>53063012500</t>
  </si>
  <si>
    <t>1400000US53019970100</t>
  </si>
  <si>
    <t>53019970100</t>
  </si>
  <si>
    <t>1400000US53063002500</t>
  </si>
  <si>
    <t>53063002500</t>
  </si>
  <si>
    <t>1400000US53001950100</t>
  </si>
  <si>
    <t>53001950100</t>
  </si>
  <si>
    <t>1400000US53063001900</t>
  </si>
  <si>
    <t>53063001900</t>
  </si>
  <si>
    <t>1400000US53063000200</t>
  </si>
  <si>
    <t>53063000200</t>
  </si>
  <si>
    <t>1400000US53065950300</t>
  </si>
  <si>
    <t>53065950300</t>
  </si>
  <si>
    <t>1400000US53063002000</t>
  </si>
  <si>
    <t>53063002000</t>
  </si>
  <si>
    <t>1400000US53063012200</t>
  </si>
  <si>
    <t>53063012200</t>
  </si>
  <si>
    <t>1400000US53001950300</t>
  </si>
  <si>
    <t>53001950300</t>
  </si>
  <si>
    <t>UR-RU</t>
  </si>
  <si>
    <t>1400000US53063002600</t>
  </si>
  <si>
    <t>53063002600</t>
  </si>
  <si>
    <t>1400000US53063011701</t>
  </si>
  <si>
    <t>53063011701</t>
  </si>
  <si>
    <t>1400000US53063001800</t>
  </si>
  <si>
    <t>53063001800</t>
  </si>
  <si>
    <t>1400000US53001950500</t>
  </si>
  <si>
    <t>53001950500</t>
  </si>
  <si>
    <t>1400000US53063003200</t>
  </si>
  <si>
    <t>53063003200</t>
  </si>
  <si>
    <t>1400000US53063001500</t>
  </si>
  <si>
    <t>53063001500</t>
  </si>
  <si>
    <t>1400000US53063001600</t>
  </si>
  <si>
    <t>53063001600</t>
  </si>
  <si>
    <t>1400000US53063001400</t>
  </si>
  <si>
    <t>53063001400</t>
  </si>
  <si>
    <t>1400000US53063011101</t>
  </si>
  <si>
    <t>53063011101</t>
  </si>
  <si>
    <t>1400000US53063003000</t>
  </si>
  <si>
    <t>53063003000</t>
  </si>
  <si>
    <t>1400000US53063012901</t>
  </si>
  <si>
    <t>53063012901</t>
  </si>
  <si>
    <t>1400000US53063014400</t>
  </si>
  <si>
    <t>53063014400</t>
  </si>
  <si>
    <t>1400000US53001950400</t>
  </si>
  <si>
    <t>53001950400</t>
  </si>
  <si>
    <t>1400000US53063012000</t>
  </si>
  <si>
    <t>53063012000</t>
  </si>
  <si>
    <t>1400000US53063003500</t>
  </si>
  <si>
    <t>53063003500</t>
  </si>
  <si>
    <t>1400000US53063010402</t>
  </si>
  <si>
    <t>53063010402</t>
  </si>
  <si>
    <t>1400000US53063011201</t>
  </si>
  <si>
    <t>53063011201</t>
  </si>
  <si>
    <t>1400000US53063002900</t>
  </si>
  <si>
    <t>53063002900</t>
  </si>
  <si>
    <t>1400000US53063014500</t>
  </si>
  <si>
    <t>53063014500</t>
  </si>
  <si>
    <t>1400000US53063000400</t>
  </si>
  <si>
    <t>53063000400</t>
  </si>
  <si>
    <t>1400000US53063002100</t>
  </si>
  <si>
    <t>53063002100</t>
  </si>
  <si>
    <t>Grant</t>
  </si>
  <si>
    <t>1400000US53025011402</t>
  </si>
  <si>
    <t>53025011402</t>
  </si>
  <si>
    <t>1400000US53063010301</t>
  </si>
  <si>
    <t>53063010301</t>
  </si>
  <si>
    <t>1400000US53063003900</t>
  </si>
  <si>
    <t>53063003900</t>
  </si>
  <si>
    <t>1400000US53063010602</t>
  </si>
  <si>
    <t>53063010602</t>
  </si>
  <si>
    <t>1400000US53063000800</t>
  </si>
  <si>
    <t>53063000800</t>
  </si>
  <si>
    <t>1400000US53063010700</t>
  </si>
  <si>
    <t>53063010700</t>
  </si>
  <si>
    <t>1400000US53063004500</t>
  </si>
  <si>
    <t>53063004500</t>
  </si>
  <si>
    <t>1400000US53063013202</t>
  </si>
  <si>
    <t>53063013202</t>
  </si>
  <si>
    <t>1400000US53063012701</t>
  </si>
  <si>
    <t>53063012701</t>
  </si>
  <si>
    <t>1400000US53063004602</t>
  </si>
  <si>
    <t>53063004602</t>
  </si>
  <si>
    <t>1400000US53063012702</t>
  </si>
  <si>
    <t>53063012702</t>
  </si>
  <si>
    <t>1400000US53063010100</t>
  </si>
  <si>
    <t>53063010100</t>
  </si>
  <si>
    <t>1400000US53075000300</t>
  </si>
  <si>
    <t>53075000300</t>
  </si>
  <si>
    <t>1400000US53063001200</t>
  </si>
  <si>
    <t>53063001200</t>
  </si>
  <si>
    <t>1400000US53063004800</t>
  </si>
  <si>
    <t>53063004800</t>
  </si>
  <si>
    <t>1400000US53063010900</t>
  </si>
  <si>
    <t>53063010900</t>
  </si>
  <si>
    <t>1400000US53063012401</t>
  </si>
  <si>
    <t>53063012401</t>
  </si>
  <si>
    <t>1400000US53063004100</t>
  </si>
  <si>
    <t>53063004100</t>
  </si>
  <si>
    <t>1400000US53063003600</t>
  </si>
  <si>
    <t>53063003600</t>
  </si>
  <si>
    <t>1400000US53075000400</t>
  </si>
  <si>
    <t>53075000400</t>
  </si>
  <si>
    <t>1400000US53075001000</t>
  </si>
  <si>
    <t>53075001000</t>
  </si>
  <si>
    <t>1400000US53063010504</t>
  </si>
  <si>
    <t>53063010504</t>
  </si>
  <si>
    <t>1400000US53063004400</t>
  </si>
  <si>
    <t>53063004400</t>
  </si>
  <si>
    <t>1400000US53063001100</t>
  </si>
  <si>
    <t>53063001100</t>
  </si>
  <si>
    <t>1400000US53063010202</t>
  </si>
  <si>
    <t>53063010202</t>
  </si>
  <si>
    <t>1400000US53063010303</t>
  </si>
  <si>
    <t>53063010303</t>
  </si>
  <si>
    <t>1400000US53063001000</t>
  </si>
  <si>
    <t>53063001000</t>
  </si>
  <si>
    <t>1400000US53075000700</t>
  </si>
  <si>
    <t>53075000700</t>
  </si>
  <si>
    <t>1400000US53065951300</t>
  </si>
  <si>
    <t>53065951300</t>
  </si>
  <si>
    <t>1400000US53003960100</t>
  </si>
  <si>
    <t>53003960100</t>
  </si>
  <si>
    <t>1400000US53003960400</t>
  </si>
  <si>
    <t>53003960400</t>
  </si>
  <si>
    <t>1400000US53063000900</t>
  </si>
  <si>
    <t>53063000900</t>
  </si>
  <si>
    <t>1400000US53063010503</t>
  </si>
  <si>
    <t>53063010503</t>
  </si>
  <si>
    <t>1400000US53063013401</t>
  </si>
  <si>
    <t>53063013401</t>
  </si>
  <si>
    <t>1400000US53063012402</t>
  </si>
  <si>
    <t>53063012402</t>
  </si>
  <si>
    <t>URBAN</t>
  </si>
  <si>
    <t>1400000US53063004000</t>
  </si>
  <si>
    <t>53063004000</t>
  </si>
  <si>
    <t>1400000US53043960100</t>
  </si>
  <si>
    <t>53043960100</t>
  </si>
  <si>
    <t>1400000US53063011800</t>
  </si>
  <si>
    <t>53063011800</t>
  </si>
  <si>
    <t>1400000US53063000600</t>
  </si>
  <si>
    <t>53063000600</t>
  </si>
  <si>
    <t>1400000US53065950200</t>
  </si>
  <si>
    <t>53065950200</t>
  </si>
  <si>
    <t>1400000US53075000200</t>
  </si>
  <si>
    <t>53075000200</t>
  </si>
  <si>
    <t>1400000US53063013800</t>
  </si>
  <si>
    <t>53063013800</t>
  </si>
  <si>
    <t>1400000US53063004200</t>
  </si>
  <si>
    <t>53063004200</t>
  </si>
  <si>
    <t>1400000US53063004900</t>
  </si>
  <si>
    <t>53063004900</t>
  </si>
  <si>
    <t>1400000US53065950700</t>
  </si>
  <si>
    <t>53065950700</t>
  </si>
  <si>
    <t>1400000US53003960500</t>
  </si>
  <si>
    <t>53003960500</t>
  </si>
  <si>
    <t>1400000US53063013600</t>
  </si>
  <si>
    <t>53063013600</t>
  </si>
  <si>
    <t>1400000US53065950500</t>
  </si>
  <si>
    <t>53065950500</t>
  </si>
  <si>
    <t>1400000US53063011000</t>
  </si>
  <si>
    <t>53063011000</t>
  </si>
  <si>
    <t>1400000US53063011600</t>
  </si>
  <si>
    <t>53063011600</t>
  </si>
  <si>
    <t>1400000US53063013000</t>
  </si>
  <si>
    <t>53063013000</t>
  </si>
  <si>
    <t>1400000US53063004300</t>
  </si>
  <si>
    <t>53063004300</t>
  </si>
  <si>
    <t>1400000US53003960200</t>
  </si>
  <si>
    <t>53003960200</t>
  </si>
  <si>
    <t>1400000US53063014100</t>
  </si>
  <si>
    <t>53063014100</t>
  </si>
  <si>
    <t>1400000US53063012801</t>
  </si>
  <si>
    <t>53063012801</t>
  </si>
  <si>
    <t>1400000US53063004700</t>
  </si>
  <si>
    <t>53063004700</t>
  </si>
  <si>
    <t>1400000US53063010501</t>
  </si>
  <si>
    <t>53063010501</t>
  </si>
  <si>
    <t>1400000US53075000900</t>
  </si>
  <si>
    <t>53075000900</t>
  </si>
  <si>
    <t>1400000US53063013300</t>
  </si>
  <si>
    <t>53063013300</t>
  </si>
  <si>
    <t>1400000US53043960300</t>
  </si>
  <si>
    <t>53043960300</t>
  </si>
  <si>
    <t>1400000US53063010305</t>
  </si>
  <si>
    <t>53063010305</t>
  </si>
  <si>
    <t>1400000US53063005000</t>
  </si>
  <si>
    <t>53063005000</t>
  </si>
  <si>
    <t>1400000US53063012600</t>
  </si>
  <si>
    <t>53063012600</t>
  </si>
  <si>
    <t>1400000US53063011300</t>
  </si>
  <si>
    <t>53063011300</t>
  </si>
  <si>
    <t>1400000US53063013700</t>
  </si>
  <si>
    <t>53063013700</t>
  </si>
  <si>
    <t>1400000US53063013900</t>
  </si>
  <si>
    <t>53063013900</t>
  </si>
  <si>
    <t>1400000US53063000700</t>
  </si>
  <si>
    <t>53063000700</t>
  </si>
  <si>
    <t>1400000US53063012802</t>
  </si>
  <si>
    <t>53063012802</t>
  </si>
  <si>
    <t>1400000US53063011400</t>
  </si>
  <si>
    <t>53063011400</t>
  </si>
  <si>
    <t>1400000US53063010601</t>
  </si>
  <si>
    <t>53063010601</t>
  </si>
  <si>
    <t>1400000US53063013500</t>
  </si>
  <si>
    <t>53063013500</t>
  </si>
  <si>
    <t>1400000US53063012100</t>
  </si>
  <si>
    <t>53063012100</t>
  </si>
  <si>
    <t>1400000US53063012902</t>
  </si>
  <si>
    <t>53063012902</t>
  </si>
  <si>
    <t>1400000US53065950600</t>
  </si>
  <si>
    <t>53065950600</t>
  </si>
  <si>
    <t>1400000US53063011500</t>
  </si>
  <si>
    <t>53063011500</t>
  </si>
  <si>
    <t>1400000US53075000100</t>
  </si>
  <si>
    <t>53075000100</t>
  </si>
  <si>
    <t>1400000US53063011900</t>
  </si>
  <si>
    <t>53063011900</t>
  </si>
  <si>
    <t>1400000US53063013201</t>
  </si>
  <si>
    <t>53063013201</t>
  </si>
  <si>
    <t>1400000US53065951400</t>
  </si>
  <si>
    <t>53065951400</t>
  </si>
  <si>
    <t>1400000US53063014300</t>
  </si>
  <si>
    <t>53063014300</t>
  </si>
  <si>
    <t>1400000US53075000800</t>
  </si>
  <si>
    <t>53075000800</t>
  </si>
  <si>
    <t>1400000US53063003100</t>
  </si>
  <si>
    <t>53063003100</t>
  </si>
  <si>
    <t>1400000US53063012300</t>
  </si>
  <si>
    <t>53063012300</t>
  </si>
  <si>
    <t>1400000US53043960400</t>
  </si>
  <si>
    <t>53043960400</t>
  </si>
  <si>
    <t>1400000US53063004601</t>
  </si>
  <si>
    <t>53063004601</t>
  </si>
  <si>
    <t>1400000US53043960200</t>
  </si>
  <si>
    <t>53043960200</t>
  </si>
  <si>
    <t>1400000US53063010201</t>
  </si>
  <si>
    <t>53063010201</t>
  </si>
  <si>
    <t>1400000US53063013100</t>
  </si>
  <si>
    <t>53063013100</t>
  </si>
  <si>
    <t>1400000US53063011702</t>
  </si>
  <si>
    <t>53063011702</t>
  </si>
  <si>
    <t>1400000US53003960600</t>
  </si>
  <si>
    <t>53003960600</t>
  </si>
  <si>
    <t>1400000US53003960300</t>
  </si>
  <si>
    <t>53003960300</t>
  </si>
  <si>
    <t>1400000US53063003800</t>
  </si>
  <si>
    <t>53063003800</t>
  </si>
  <si>
    <t>1400000US53063011202</t>
  </si>
  <si>
    <t>53063011202</t>
  </si>
  <si>
    <t>1400000US53065950900</t>
  </si>
  <si>
    <t>53065950900</t>
  </si>
  <si>
    <t>Pend Oreille</t>
  </si>
  <si>
    <t>1400000US53051970100</t>
  </si>
  <si>
    <t>53051970100</t>
  </si>
  <si>
    <t>Franklin</t>
  </si>
  <si>
    <t>1400000US53021020700</t>
  </si>
  <si>
    <t>53021020700</t>
  </si>
  <si>
    <t>Raw Avg</t>
  </si>
  <si>
    <t>Named Communities</t>
  </si>
  <si>
    <t>Other Communities</t>
  </si>
  <si>
    <t>Raw Stdev</t>
  </si>
  <si>
    <t>Count</t>
  </si>
  <si>
    <t>T value</t>
  </si>
  <si>
    <t>P Value</t>
  </si>
  <si>
    <t>n/a</t>
  </si>
  <si>
    <t>Weighted Averages</t>
  </si>
  <si>
    <t>CAIDI (Minutes)</t>
  </si>
  <si>
    <t>CEMI (Events)</t>
  </si>
  <si>
    <t>Delta</t>
  </si>
  <si>
    <t>Customers</t>
  </si>
  <si>
    <t>CAIDI/CEMI</t>
  </si>
  <si>
    <t>Percent of non-emitting/clean energy (including EE) in named communities (MWh)</t>
  </si>
  <si>
    <t>(Increases/decreases in clean investments in named communities)</t>
  </si>
  <si>
    <t>Percent Non-emitting/Clean Energy in Named Communities</t>
  </si>
  <si>
    <t>Equity Area: Community Development</t>
  </si>
  <si>
    <t>% Clean (KF)</t>
  </si>
  <si>
    <t>pt ratios</t>
  </si>
  <si>
    <t>Clean Investments in Named Communities</t>
  </si>
  <si>
    <t>Little Falls</t>
  </si>
  <si>
    <t>Nine Mile</t>
  </si>
  <si>
    <t>Upper Falls</t>
  </si>
  <si>
    <t>Monroe Street</t>
  </si>
  <si>
    <t>Northeast</t>
  </si>
  <si>
    <t>Kettle Falls</t>
  </si>
  <si>
    <t>Upriver (net of load)</t>
  </si>
  <si>
    <t>Adams-Nielson (WA)</t>
  </si>
  <si>
    <t>Rattlesnake Flat</t>
  </si>
  <si>
    <t>Meyers Falls</t>
  </si>
  <si>
    <t>Deep Creek</t>
  </si>
  <si>
    <t>Sheep Creek</t>
  </si>
  <si>
    <t>Phillips Ranch</t>
  </si>
  <si>
    <t>Energy Efficiency - LI (named communities)</t>
  </si>
  <si>
    <t>Energy Efficiency - Res (named communities)</t>
  </si>
  <si>
    <t>Energy Efficiency - Nonres (named communities)</t>
  </si>
  <si>
    <t>Cumulative impact of EE</t>
  </si>
  <si>
    <t>Retail Sales (from I-937 rpts)</t>
  </si>
  <si>
    <t>Energy Efficiency - WA LI (total)</t>
  </si>
  <si>
    <t>Energy Efficiency - WA Res (total)</t>
  </si>
  <si>
    <t>Energy Efficiency -WA Nonres (total)</t>
  </si>
  <si>
    <t>Retail Sales (from I-937 rpts) adj for cumulative EE</t>
  </si>
  <si>
    <t>avg</t>
  </si>
  <si>
    <t>Percent of Gen in WA</t>
  </si>
  <si>
    <t>Percent of generation located in WA state of directly connected to Avista transmission (MWh)</t>
  </si>
  <si>
    <t>Equity Area: Energy Security</t>
  </si>
  <si>
    <t>aMW (check)</t>
  </si>
  <si>
    <t>WA Gen/Connected</t>
  </si>
  <si>
    <t>Percent of Generation Located in Washington or Connected to Avista Transmission</t>
  </si>
  <si>
    <t>Lancaster</t>
  </si>
  <si>
    <t>Long Lake</t>
  </si>
  <si>
    <t>Kettle Falls CT</t>
  </si>
  <si>
    <t>Boulder Park</t>
  </si>
  <si>
    <t>Waste to Energy</t>
  </si>
  <si>
    <t>Mid-C Generation</t>
  </si>
  <si>
    <t>Adams-Nielson</t>
  </si>
  <si>
    <t>Palouse Wind</t>
  </si>
  <si>
    <t>Noxon</t>
  </si>
  <si>
    <t>Cabinet</t>
  </si>
  <si>
    <t>Post Falls</t>
  </si>
  <si>
    <t>Clearwater Paper (gen)</t>
  </si>
  <si>
    <t>John Day</t>
  </si>
  <si>
    <t>Jim Ford</t>
  </si>
  <si>
    <t>Clark Fork/Jim White</t>
  </si>
  <si>
    <t>Plummer Saw Mill/Simson</t>
  </si>
  <si>
    <t>Spokane County Digester</t>
  </si>
  <si>
    <t>Total WA Generation</t>
  </si>
  <si>
    <t>Native Load</t>
  </si>
  <si>
    <t>Stuff below that we may or may not use:</t>
  </si>
  <si>
    <t>PT ratios (from I-937 rpt)</t>
  </si>
  <si>
    <t>BPA</t>
  </si>
  <si>
    <t>Chelan PUD</t>
  </si>
  <si>
    <t>Douglas PUD</t>
  </si>
  <si>
    <t>Grant PUD</t>
  </si>
  <si>
    <t>Okanogan PUD</t>
  </si>
  <si>
    <t>Pend Oreille PUD</t>
  </si>
  <si>
    <t>Puget Sound Energy</t>
  </si>
  <si>
    <t>Seattle City Light</t>
  </si>
  <si>
    <t>Snohomish PUD</t>
  </si>
  <si>
    <t>Tacoma Power</t>
  </si>
  <si>
    <t>The Energy Authority</t>
  </si>
  <si>
    <t>Large Sources</t>
  </si>
  <si>
    <t>Waste Management</t>
  </si>
  <si>
    <t>Transportation</t>
  </si>
  <si>
    <t>Agriculture</t>
  </si>
  <si>
    <t>Electric Power Serving WA</t>
  </si>
  <si>
    <t>Electric Power Serving ID</t>
  </si>
  <si>
    <t>Res. &amp; Com. Fuels</t>
  </si>
  <si>
    <t>Direct Emissions</t>
  </si>
  <si>
    <t>Net Emissions</t>
  </si>
  <si>
    <t>Washington Emissions (Million Metric Tons)</t>
  </si>
  <si>
    <t>Data is in Metric Tons unless otherwise indicated</t>
  </si>
  <si>
    <t>SO2- Metric Tonnes</t>
  </si>
  <si>
    <t>State</t>
  </si>
  <si>
    <t>Plant</t>
  </si>
  <si>
    <t>Fuel Type</t>
  </si>
  <si>
    <t>Montana</t>
  </si>
  <si>
    <t>Colstrip 3 &amp; 4</t>
  </si>
  <si>
    <t>Coal/Oil</t>
  </si>
  <si>
    <t>Idaho</t>
  </si>
  <si>
    <t>Rathdrum</t>
  </si>
  <si>
    <t>Natural gas</t>
  </si>
  <si>
    <t>Washington</t>
  </si>
  <si>
    <t>Oregon</t>
  </si>
  <si>
    <t>Coyote Springs II</t>
  </si>
  <si>
    <t>Wood</t>
  </si>
  <si>
    <t>Total within WA</t>
  </si>
  <si>
    <t>NOx- Metric Tonnes</t>
  </si>
  <si>
    <t>Hg- Metric Tonnes</t>
  </si>
  <si>
    <t>VOC- Metric Tonnes</t>
  </si>
  <si>
    <t>Total MWh EE in Named Communities</t>
  </si>
  <si>
    <t>Total MWHh Non-Emitting/Clean in Named Communities</t>
  </si>
  <si>
    <t>Renewable Energy</t>
  </si>
  <si>
    <t>Energy Efficiency</t>
  </si>
  <si>
    <t>file: Low Income Weatherization and Energy Assistance Penetration Rate in Workpapers. Information from Avista's Customer Care and Billing system.</t>
  </si>
  <si>
    <t>source: Avista corporate communication tracking</t>
  </si>
  <si>
    <t>Average</t>
  </si>
  <si>
    <t>Energy Assistance All Customers</t>
  </si>
  <si>
    <t>Energy Assistance Named Communities</t>
  </si>
  <si>
    <t>Energy Assistance Payments</t>
  </si>
  <si>
    <t>% Named Communities</t>
  </si>
  <si>
    <t>Customer Count</t>
  </si>
  <si>
    <t>Payment Total</t>
  </si>
  <si>
    <t>Avg Pmt Total</t>
  </si>
  <si>
    <t>Number of Payments</t>
  </si>
  <si>
    <t>Avg Pmt Amt</t>
  </si>
  <si>
    <t>4 Year Average (2016-2019)</t>
  </si>
  <si>
    <t>5 Year Average (2016-2020)</t>
  </si>
  <si>
    <t xml:space="preserve"> </t>
  </si>
  <si>
    <t>4 yr avg (16-19)</t>
  </si>
  <si>
    <t>5 yr avg (16-20)</t>
  </si>
  <si>
    <t>All Customers Total</t>
  </si>
  <si>
    <t>Named Communities Total</t>
  </si>
  <si>
    <t>Customer Count (5 yr avg)</t>
  </si>
  <si>
    <t>Payment Total (5 yr avg)</t>
  </si>
  <si>
    <t>Avg Pmt Amt (5 yr avg)</t>
  </si>
  <si>
    <t>Payments (5 yr avg)</t>
  </si>
  <si>
    <t>Customer Count (2020)</t>
  </si>
  <si>
    <t>Payment Total (2020)</t>
  </si>
  <si>
    <t>Avg Pmt Amt (2020)</t>
  </si>
  <si>
    <t>Payments (2020)</t>
  </si>
  <si>
    <t>Customer Count (2021)</t>
  </si>
  <si>
    <t>Payment Total (2021)</t>
  </si>
  <si>
    <t>Avg Pmt Amt (2021)</t>
  </si>
  <si>
    <t>Payments (2021)</t>
  </si>
  <si>
    <t>Penetration Rate</t>
  </si>
  <si>
    <t>Eligible Households*</t>
  </si>
  <si>
    <t>4 Year Avg. (16-19)</t>
  </si>
  <si>
    <t>Customer Count 2016</t>
  </si>
  <si>
    <t>Customer Count 2017</t>
  </si>
  <si>
    <t>Customer Count 2018</t>
  </si>
  <si>
    <t>Customer Count 2019</t>
  </si>
  <si>
    <t>Customer Count 2020</t>
  </si>
  <si>
    <t>5 Year Avg (2016-2020)</t>
  </si>
  <si>
    <t>*Eligible Households for all customers determined from the Low Income Needs Assessment conducted in 2019.  Eligible households for Named Communities determined from HIC or Vulnerable Flag from Census tract and customer info data.</t>
  </si>
  <si>
    <t>Winter</t>
  </si>
  <si>
    <t>Summer</t>
  </si>
  <si>
    <t>Planning Seasonal Peak Load</t>
  </si>
  <si>
    <t>Actual Peak Load</t>
  </si>
  <si>
    <t>Date of Peak</t>
  </si>
  <si>
    <t>Hour of Peak</t>
  </si>
  <si>
    <t>Data Type</t>
  </si>
  <si>
    <t>Resources</t>
  </si>
  <si>
    <t>Resource Type</t>
  </si>
  <si>
    <t>Potential</t>
  </si>
  <si>
    <t>Coyote Springs</t>
  </si>
  <si>
    <t>Natural Gas</t>
  </si>
  <si>
    <t>Northeast CT</t>
  </si>
  <si>
    <t>Rathdrum CT</t>
  </si>
  <si>
    <t>Biomass</t>
  </si>
  <si>
    <t>Colstrip</t>
  </si>
  <si>
    <t>Coal</t>
  </si>
  <si>
    <t>Hydro- Storage</t>
  </si>
  <si>
    <t>Cabinet Gorge</t>
  </si>
  <si>
    <t>Noxon Rapids</t>
  </si>
  <si>
    <t>Mid-Columbia Hydro Contracts</t>
  </si>
  <si>
    <t>Actual Peak Hour</t>
  </si>
  <si>
    <t>Hydro- Run of River</t>
  </si>
  <si>
    <t>Palouse</t>
  </si>
  <si>
    <t>Wind</t>
  </si>
  <si>
    <t>Rattlesnake</t>
  </si>
  <si>
    <t>Solar</t>
  </si>
  <si>
    <t>City of Spokane</t>
  </si>
  <si>
    <t>PURPA- Refuse/Hydro</t>
  </si>
  <si>
    <t>Clearwater Paper</t>
  </si>
  <si>
    <t>PURPA- Biomass</t>
  </si>
  <si>
    <t>Stimson Lumber</t>
  </si>
  <si>
    <t>Small Power</t>
  </si>
  <si>
    <t>PURPA- varies</t>
  </si>
  <si>
    <t>Long Term Sales</t>
  </si>
  <si>
    <t>Unspecified</t>
  </si>
  <si>
    <t>Long Term Purchase</t>
  </si>
  <si>
    <t>Implied Margin</t>
  </si>
  <si>
    <t>Planning Margin</t>
  </si>
  <si>
    <t>Diversity, Small Business &amp; Community Spend (%)</t>
  </si>
  <si>
    <t>source: department of health defintions</t>
  </si>
  <si>
    <t>Source: Company data and cencus track information</t>
  </si>
  <si>
    <t>All Programs</t>
  </si>
  <si>
    <t>All Customers All /Programs</t>
  </si>
  <si>
    <t>All Other Programs</t>
  </si>
  <si>
    <t>EE Programs</t>
  </si>
  <si>
    <t>All Customers Other Programs %</t>
  </si>
  <si>
    <t>All Customers EA Programs %</t>
  </si>
  <si>
    <t>Named Communiites Other Programs</t>
  </si>
  <si>
    <t>Named Communities EA Programs</t>
  </si>
  <si>
    <t>Households Energy Burdened in Excess of 6% (electric heat)</t>
  </si>
  <si>
    <t>Energy burdened households as a percent of total households (electric heat)</t>
  </si>
  <si>
    <t>Average excess burden per household (electric heat)</t>
  </si>
  <si>
    <t>source: Empower Dataworks. Subject to review by Avista</t>
  </si>
  <si>
    <t>Impressions</t>
  </si>
  <si>
    <t>Metric</t>
  </si>
  <si>
    <t>Annual Trips provided by CBOs</t>
  </si>
  <si>
    <t>Annual Passenger Miles Provided by CBOs</t>
  </si>
  <si>
    <t>Charging Ports Installed in Named Communities</t>
  </si>
  <si>
    <t>Source: Community Based Organizations</t>
  </si>
  <si>
    <t>Workforce availability tracked by external third party.</t>
  </si>
  <si>
    <t>Avista diversity tracked internally</t>
  </si>
  <si>
    <t>Workpaper in CBI: Named Community Clean Energy</t>
  </si>
  <si>
    <t>Source: Avista Communications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</si>
</sst>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_(* #,##0.0000_);_(* \(#,##0.0000\);_(* &quot;-&quot;??_);_(@_)"/>
    <numFmt numFmtId="169" formatCode="_(&quot;$&quot;* #,##0_);_(&quot;$&quot;* \(#,##0\);_(&quot;$&quot;*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0.5"/>
      <color rgb="FFFFFFFF"/>
      <name val="Arial"/>
      <family val="2"/>
    </font>
    <font>
      <sz val="10.5"/>
      <color rgb="FF000000"/>
      <name val="Arial"/>
      <family val="2"/>
    </font>
    <font>
      <sz val="11"/>
      <color theme="1"/>
      <name val="Arial"/>
      <family val="2"/>
    </font>
    <font>
      <b/>
      <sz val="11"/>
      <color theme="1"/>
      <name val="Arial"/>
      <family val="2"/>
    </font>
    <font>
      <sz val="9"/>
      <color indexed="81"/>
      <name val="Tahoma"/>
      <family val="2"/>
    </font>
    <font>
      <b/>
      <sz val="9"/>
      <color indexed="81"/>
      <name val="Tahoma"/>
      <family val="2"/>
    </font>
    <font>
      <sz val="12"/>
      <color theme="1"/>
      <name val="Arial"/>
      <family val="2"/>
    </font>
    <font>
      <sz val="10.5"/>
      <color theme="1"/>
      <name val="Arial"/>
      <family val="2"/>
    </font>
    <font>
      <b/>
      <sz val="10.5"/>
      <color rgb="FF000000"/>
      <name val="Arial"/>
      <family val="2"/>
    </font>
    <font>
      <b/>
      <sz val="10"/>
      <color theme="1"/>
      <name val="Arial"/>
      <family val="2"/>
    </font>
    <font>
      <sz val="10"/>
      <color theme="1"/>
      <name val="Arial"/>
      <family val="2"/>
    </font>
    <font>
      <b/>
      <sz val="12"/>
      <name val="Calibri"/>
      <family val="2"/>
    </font>
    <font>
      <b/>
      <sz val="10"/>
      <name val="Arial"/>
      <family val="2"/>
    </font>
    <font>
      <b/>
      <u/>
      <sz val="11"/>
      <color theme="1"/>
      <name val="Calibri"/>
      <family val="2"/>
      <scheme val="minor"/>
    </font>
    <font>
      <sz val="10"/>
      <color theme="1"/>
      <name val="Tahoma"/>
      <family val="2"/>
    </font>
    <font>
      <b/>
      <sz val="10"/>
      <color theme="1"/>
      <name val="Tahoma"/>
      <family val="2"/>
    </font>
    <font>
      <b/>
      <sz val="12"/>
      <color theme="1"/>
      <name val="Arial"/>
      <family val="2"/>
    </font>
    <font>
      <b/>
      <sz val="14"/>
      <color theme="1"/>
      <name val="Tahoma"/>
      <family val="2"/>
    </font>
    <font>
      <b/>
      <sz val="11"/>
      <color theme="1"/>
      <name val="Tahoma"/>
      <family val="2"/>
    </font>
    <font>
      <sz val="11"/>
      <color theme="1"/>
      <name val="Tahoma"/>
      <family val="2"/>
    </font>
    <font>
      <i/>
      <sz val="10"/>
      <color theme="1"/>
      <name val="Tahoma"/>
      <family val="2"/>
    </font>
    <font>
      <sz val="10"/>
      <name val="Arial"/>
      <family val="2"/>
    </font>
    <font>
      <sz val="10.5"/>
      <color rgb="FF222222"/>
      <name val="Arial"/>
      <family val="2"/>
    </font>
    <font>
      <b/>
      <sz val="10"/>
      <color rgb="FFFFFFFF"/>
      <name val="Arial"/>
      <family val="2"/>
    </font>
  </fonts>
  <fills count="15">
    <fill>
      <patternFill patternType="none"/>
    </fill>
    <fill>
      <patternFill patternType="gray125"/>
    </fill>
    <fill>
      <patternFill patternType="solid">
        <fgColor rgb="FF0076BE"/>
        <bgColor indexed="64"/>
      </patternFill>
    </fill>
    <fill>
      <patternFill patternType="solid">
        <fgColor rgb="FF2E74B5"/>
        <bgColor indexed="64"/>
      </patternFill>
    </fill>
    <fill>
      <patternFill patternType="solid">
        <fgColor rgb="FFBFBFBF"/>
        <bgColor indexed="64"/>
      </patternFill>
    </fill>
    <fill>
      <patternFill patternType="solid">
        <fgColor rgb="FF5A76BE"/>
        <bgColor indexed="64"/>
      </patternFill>
    </fill>
    <fill>
      <patternFill patternType="solid">
        <fgColor rgb="FFE6E6E6"/>
        <bgColor rgb="FFE6E6E6"/>
      </patternFill>
    </fill>
    <fill>
      <patternFill patternType="solid">
        <fgColor rgb="FFFFFF00"/>
        <bgColor rgb="FFE6E6E6"/>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indexed="64"/>
      </patternFill>
    </fill>
  </fills>
  <borders count="52">
    <border>
      <left/>
      <right/>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indexed="64"/>
      </left>
      <right/>
      <top style="medium">
        <color indexed="64"/>
      </top>
      <bottom style="medium">
        <color indexed="64"/>
      </bottom>
      <diagonal/>
    </border>
    <border>
      <left/>
      <right/>
      <top/>
      <bottom style="medium">
        <color rgb="FF000000"/>
      </bottom>
      <diagonal/>
    </border>
    <border>
      <left/>
      <right/>
      <top/>
      <bottom style="thin">
        <color indexed="64"/>
      </bottom>
      <diagonal/>
    </border>
    <border>
      <left/>
      <right/>
      <top style="thick">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thin">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6" borderId="19">
      <alignment horizontal="left"/>
    </xf>
    <xf numFmtId="0" fontId="17" fillId="0" borderId="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24" fillId="0" borderId="0"/>
  </cellStyleXfs>
  <cellXfs count="254">
    <xf numFmtId="0" fontId="0" fillId="0" borderId="0" xfId="0"/>
    <xf numFmtId="164" fontId="0" fillId="0" borderId="0" xfId="1" applyNumberFormat="1" applyFont="1"/>
    <xf numFmtId="0" fontId="0" fillId="0" borderId="0" xfId="1" applyNumberFormat="1" applyFont="1"/>
    <xf numFmtId="1" fontId="0" fillId="0" borderId="0" xfId="1" applyNumberFormat="1" applyFont="1"/>
    <xf numFmtId="3" fontId="0" fillId="0" borderId="0" xfId="1" applyNumberFormat="1" applyFont="1"/>
    <xf numFmtId="0" fontId="2" fillId="0" borderId="0" xfId="1" applyNumberFormat="1" applyFont="1"/>
    <xf numFmtId="0" fontId="3" fillId="2" borderId="1" xfId="0" applyFont="1" applyFill="1" applyBorder="1" applyAlignment="1">
      <alignment horizontal="justify" vertical="center"/>
    </xf>
    <xf numFmtId="0" fontId="3" fillId="2" borderId="2" xfId="0" applyFont="1" applyFill="1" applyBorder="1" applyAlignment="1">
      <alignment horizontal="center" vertical="center" wrapText="1"/>
    </xf>
    <xf numFmtId="0" fontId="4" fillId="0" borderId="3" xfId="0" applyFont="1" applyBorder="1" applyAlignment="1">
      <alignment horizontal="left" vertical="center"/>
    </xf>
    <xf numFmtId="0" fontId="4" fillId="0" borderId="4" xfId="0" applyFont="1" applyBorder="1" applyAlignment="1">
      <alignment horizontal="right" vertical="center" wrapText="1"/>
    </xf>
    <xf numFmtId="9" fontId="0" fillId="0" borderId="0" xfId="2" applyFont="1"/>
    <xf numFmtId="0" fontId="5" fillId="0" borderId="0" xfId="0" applyFont="1"/>
    <xf numFmtId="0" fontId="6" fillId="0" borderId="0" xfId="1" applyNumberFormat="1" applyFont="1"/>
    <xf numFmtId="164" fontId="5" fillId="0" borderId="0" xfId="1" applyNumberFormat="1" applyFont="1"/>
    <xf numFmtId="3" fontId="5" fillId="0" borderId="0" xfId="1" applyNumberFormat="1" applyFont="1"/>
    <xf numFmtId="0" fontId="6" fillId="0" borderId="0" xfId="0" applyFont="1"/>
    <xf numFmtId="9" fontId="0" fillId="0" borderId="0" xfId="0" applyNumberFormat="1"/>
    <xf numFmtId="165" fontId="0" fillId="0" borderId="0" xfId="2" applyNumberFormat="1" applyFont="1"/>
    <xf numFmtId="0" fontId="2" fillId="0" borderId="0" xfId="1" applyNumberFormat="1" applyFont="1" applyAlignment="1">
      <alignment wrapText="1"/>
    </xf>
    <xf numFmtId="0" fontId="10" fillId="0" borderId="7" xfId="0" applyFont="1" applyBorder="1" applyAlignment="1">
      <alignment horizontal="left" vertical="center" wrapText="1"/>
    </xf>
    <xf numFmtId="0" fontId="3" fillId="2" borderId="10" xfId="0" applyFont="1" applyFill="1" applyBorder="1" applyAlignment="1">
      <alignment horizontal="left" vertical="center" wrapText="1"/>
    </xf>
    <xf numFmtId="0" fontId="3" fillId="2" borderId="11" xfId="0" applyFont="1" applyFill="1" applyBorder="1" applyAlignment="1">
      <alignment horizontal="left" vertical="center"/>
    </xf>
    <xf numFmtId="0" fontId="9" fillId="2" borderId="11" xfId="0" applyFont="1" applyFill="1" applyBorder="1" applyAlignment="1">
      <alignment vertical="top"/>
    </xf>
    <xf numFmtId="0" fontId="3" fillId="2" borderId="13" xfId="0" applyFont="1" applyFill="1" applyBorder="1" applyAlignment="1">
      <alignment horizontal="right" vertical="center" textRotation="90" wrapText="1"/>
    </xf>
    <xf numFmtId="0" fontId="3" fillId="2" borderId="14" xfId="0" applyFont="1" applyFill="1" applyBorder="1" applyAlignment="1">
      <alignment horizontal="left" vertical="center" textRotation="90" wrapText="1"/>
    </xf>
    <xf numFmtId="0" fontId="11" fillId="0" borderId="13" xfId="0" applyFont="1" applyBorder="1" applyAlignment="1">
      <alignment horizontal="left" vertical="center" wrapText="1"/>
    </xf>
    <xf numFmtId="0" fontId="4" fillId="0" borderId="14" xfId="0" applyFont="1" applyBorder="1" applyAlignment="1">
      <alignment horizontal="left" vertical="center"/>
    </xf>
    <xf numFmtId="0" fontId="4" fillId="0" borderId="14" xfId="0" applyFont="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right" vertical="center"/>
    </xf>
    <xf numFmtId="0" fontId="4" fillId="4" borderId="14" xfId="0" applyFont="1" applyFill="1" applyBorder="1" applyAlignment="1">
      <alignment horizontal="right" vertical="center" wrapText="1"/>
    </xf>
    <xf numFmtId="0" fontId="4" fillId="0" borderId="13" xfId="0" applyFont="1" applyBorder="1" applyAlignment="1">
      <alignment horizontal="left" vertical="center" wrapText="1"/>
    </xf>
    <xf numFmtId="0" fontId="4" fillId="0" borderId="14" xfId="0" applyFont="1" applyBorder="1" applyAlignment="1">
      <alignment horizontal="right" vertical="center"/>
    </xf>
    <xf numFmtId="0" fontId="4" fillId="0" borderId="14" xfId="0" applyFont="1" applyBorder="1" applyAlignment="1">
      <alignment horizontal="right" vertical="center" wrapText="1"/>
    </xf>
    <xf numFmtId="0" fontId="4" fillId="4" borderId="14" xfId="0" applyFont="1" applyFill="1" applyBorder="1" applyAlignment="1">
      <alignment horizontal="left" vertical="center" wrapText="1"/>
    </xf>
    <xf numFmtId="0" fontId="11" fillId="0" borderId="13" xfId="0" applyFont="1" applyBorder="1" applyAlignment="1">
      <alignment horizontal="right" vertical="center" wrapText="1"/>
    </xf>
    <xf numFmtId="0" fontId="4" fillId="0" borderId="13" xfId="0" applyFont="1" applyBorder="1" applyAlignment="1">
      <alignment horizontal="right" vertical="center" wrapText="1"/>
    </xf>
    <xf numFmtId="0" fontId="3" fillId="2" borderId="16" xfId="0" applyFont="1" applyFill="1" applyBorder="1" applyAlignment="1">
      <alignment horizontal="right" vertical="center" textRotation="90" wrapText="1"/>
    </xf>
    <xf numFmtId="0" fontId="3" fillId="2" borderId="0" xfId="0" applyFont="1" applyFill="1" applyAlignment="1">
      <alignment horizontal="left" vertical="center" textRotation="90" wrapText="1"/>
    </xf>
    <xf numFmtId="0" fontId="3" fillId="2" borderId="17" xfId="0" applyFont="1" applyFill="1" applyBorder="1" applyAlignment="1">
      <alignment horizontal="left" vertical="center" textRotation="90" wrapText="1"/>
    </xf>
    <xf numFmtId="0" fontId="11" fillId="0" borderId="7" xfId="0" applyFont="1" applyBorder="1" applyAlignment="1">
      <alignment horizontal="left" vertical="center" wrapText="1"/>
    </xf>
    <xf numFmtId="0" fontId="4" fillId="0" borderId="4" xfId="0" applyFont="1" applyBorder="1" applyAlignment="1">
      <alignment horizontal="left" vertical="center"/>
    </xf>
    <xf numFmtId="0" fontId="4" fillId="0" borderId="4" xfId="0" applyFont="1" applyBorder="1" applyAlignment="1">
      <alignment horizontal="left" vertical="center" wrapText="1"/>
    </xf>
    <xf numFmtId="0" fontId="4" fillId="4" borderId="7" xfId="0" applyFont="1" applyFill="1" applyBorder="1" applyAlignment="1">
      <alignment horizontal="left" vertical="center" wrapText="1"/>
    </xf>
    <xf numFmtId="0" fontId="4" fillId="4" borderId="4" xfId="0" applyFont="1" applyFill="1" applyBorder="1" applyAlignment="1">
      <alignment horizontal="right" vertical="center"/>
    </xf>
    <xf numFmtId="0" fontId="4" fillId="4" borderId="4" xfId="0" applyFont="1" applyFill="1" applyBorder="1" applyAlignment="1">
      <alignment horizontal="right" vertical="center" wrapText="1"/>
    </xf>
    <xf numFmtId="0" fontId="4" fillId="0" borderId="7" xfId="0" applyFont="1" applyBorder="1" applyAlignment="1">
      <alignment horizontal="left" vertical="center" wrapText="1"/>
    </xf>
    <xf numFmtId="0" fontId="4" fillId="0" borderId="4" xfId="0" applyFont="1" applyBorder="1" applyAlignment="1">
      <alignment horizontal="right" vertical="center"/>
    </xf>
    <xf numFmtId="0" fontId="11" fillId="0" borderId="7" xfId="0" applyFont="1" applyBorder="1" applyAlignment="1">
      <alignment horizontal="right" vertical="center" wrapText="1"/>
    </xf>
    <xf numFmtId="0" fontId="4" fillId="0" borderId="7" xfId="0" applyFont="1" applyBorder="1" applyAlignment="1">
      <alignment horizontal="right" vertical="center" wrapText="1"/>
    </xf>
    <xf numFmtId="0" fontId="4" fillId="4" borderId="4" xfId="0" applyFont="1" applyFill="1" applyBorder="1" applyAlignment="1">
      <alignment horizontal="left" vertical="center" wrapText="1"/>
    </xf>
    <xf numFmtId="0" fontId="12" fillId="0" borderId="0" xfId="0" applyFont="1" applyAlignment="1">
      <alignment wrapText="1"/>
    </xf>
    <xf numFmtId="0" fontId="12" fillId="0" borderId="0" xfId="0" applyFont="1" applyAlignment="1">
      <alignment horizontal="right" wrapText="1"/>
    </xf>
    <xf numFmtId="0" fontId="13" fillId="0" borderId="0" xfId="0" applyFont="1"/>
    <xf numFmtId="166" fontId="13" fillId="0" borderId="0" xfId="0" applyNumberFormat="1" applyFont="1"/>
    <xf numFmtId="166" fontId="13" fillId="0" borderId="0" xfId="1" applyNumberFormat="1" applyFont="1"/>
    <xf numFmtId="0" fontId="0" fillId="0" borderId="0" xfId="0" applyAlignment="1">
      <alignment horizontal="center"/>
    </xf>
    <xf numFmtId="165" fontId="0" fillId="0" borderId="0" xfId="0" applyNumberFormat="1"/>
    <xf numFmtId="0" fontId="0" fillId="0" borderId="0" xfId="0" applyAlignment="1">
      <alignment horizontal="center" wrapText="1"/>
    </xf>
    <xf numFmtId="10" fontId="0" fillId="0" borderId="0" xfId="0" applyNumberFormat="1"/>
    <xf numFmtId="0" fontId="0" fillId="0" borderId="0" xfId="0" applyAlignment="1">
      <alignment vertical="center"/>
    </xf>
    <xf numFmtId="0" fontId="3" fillId="5" borderId="5"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4" xfId="0" applyFont="1" applyFill="1" applyBorder="1" applyAlignment="1">
      <alignment horizontal="center" vertical="center" wrapText="1"/>
    </xf>
    <xf numFmtId="9" fontId="10" fillId="0" borderId="4" xfId="0" applyNumberFormat="1" applyFont="1" applyBorder="1" applyAlignment="1">
      <alignment horizontal="center" vertical="center" wrapText="1"/>
    </xf>
    <xf numFmtId="0" fontId="15" fillId="6" borderId="19" xfId="3" applyFont="1" applyAlignment="1">
      <alignment horizontal="left" wrapText="1"/>
    </xf>
    <xf numFmtId="0" fontId="15" fillId="7" borderId="19" xfId="3" applyFont="1" applyFill="1" applyAlignment="1">
      <alignment horizontal="right" wrapText="1"/>
    </xf>
    <xf numFmtId="0" fontId="15" fillId="7" borderId="19" xfId="3" applyFont="1" applyFill="1" applyAlignment="1">
      <alignment horizontal="left" wrapText="1"/>
    </xf>
    <xf numFmtId="0" fontId="13" fillId="0" borderId="0" xfId="0" applyFont="1" applyAlignment="1">
      <alignment wrapText="1"/>
    </xf>
    <xf numFmtId="0" fontId="13" fillId="8" borderId="0" xfId="0" applyFont="1" applyFill="1" applyAlignment="1">
      <alignment horizontal="right"/>
    </xf>
    <xf numFmtId="0" fontId="13" fillId="8" borderId="0" xfId="0" applyFont="1" applyFill="1"/>
    <xf numFmtId="0" fontId="13" fillId="8" borderId="0" xfId="0" applyFont="1" applyFill="1" applyAlignment="1">
      <alignment horizontal="left"/>
    </xf>
    <xf numFmtId="164" fontId="13" fillId="0" borderId="0" xfId="1" applyNumberFormat="1" applyFont="1"/>
    <xf numFmtId="0" fontId="13" fillId="0" borderId="0" xfId="0" applyFont="1" applyAlignment="1">
      <alignment horizontal="right"/>
    </xf>
    <xf numFmtId="43" fontId="13" fillId="0" borderId="0" xfId="1" applyFont="1"/>
    <xf numFmtId="166" fontId="13" fillId="0" borderId="0" xfId="1" applyNumberFormat="1" applyFont="1" applyAlignment="1">
      <alignment horizontal="right"/>
    </xf>
    <xf numFmtId="0" fontId="12" fillId="8" borderId="0" xfId="0" applyFont="1" applyFill="1" applyAlignment="1">
      <alignment horizontal="right"/>
    </xf>
    <xf numFmtId="0" fontId="12" fillId="8" borderId="0" xfId="0" applyFont="1" applyFill="1"/>
    <xf numFmtId="0" fontId="12" fillId="8" borderId="0" xfId="0" applyFont="1" applyFill="1" applyAlignment="1">
      <alignment horizontal="left"/>
    </xf>
    <xf numFmtId="0" fontId="12" fillId="0" borderId="0" xfId="0" applyFont="1"/>
    <xf numFmtId="164" fontId="13" fillId="0" borderId="0" xfId="0" applyNumberFormat="1" applyFont="1"/>
    <xf numFmtId="43" fontId="13" fillId="0" borderId="0" xfId="0" applyNumberFormat="1" applyFont="1"/>
    <xf numFmtId="0" fontId="2" fillId="0" borderId="0" xfId="0" applyFont="1"/>
    <xf numFmtId="10" fontId="0" fillId="0" borderId="0" xfId="2" applyNumberFormat="1" applyFont="1"/>
    <xf numFmtId="0" fontId="16" fillId="0" borderId="0" xfId="0" applyFont="1" applyAlignment="1">
      <alignment horizontal="center"/>
    </xf>
    <xf numFmtId="164" fontId="0" fillId="0" borderId="0" xfId="0" applyNumberFormat="1"/>
    <xf numFmtId="164" fontId="0" fillId="0" borderId="0" xfId="1" applyNumberFormat="1" applyFont="1" applyAlignment="1">
      <alignment wrapText="1"/>
    </xf>
    <xf numFmtId="0" fontId="0" fillId="0" borderId="0" xfId="2" applyNumberFormat="1" applyFont="1"/>
    <xf numFmtId="3" fontId="0" fillId="0" borderId="0" xfId="0" applyNumberFormat="1"/>
    <xf numFmtId="3" fontId="0" fillId="0" borderId="0" xfId="1" applyNumberFormat="1" applyFont="1" applyFill="1"/>
    <xf numFmtId="0" fontId="0" fillId="0" borderId="21" xfId="0" applyBorder="1"/>
    <xf numFmtId="2" fontId="0" fillId="0" borderId="0" xfId="0" applyNumberFormat="1"/>
    <xf numFmtId="164" fontId="5" fillId="0" borderId="0" xfId="1" applyNumberFormat="1" applyFont="1" applyBorder="1"/>
    <xf numFmtId="166" fontId="5" fillId="0" borderId="0" xfId="1" applyNumberFormat="1" applyFont="1" applyBorder="1"/>
    <xf numFmtId="167" fontId="5" fillId="0" borderId="0" xfId="1" applyNumberFormat="1" applyFont="1" applyBorder="1"/>
    <xf numFmtId="166" fontId="6" fillId="0" borderId="0" xfId="1" applyNumberFormat="1" applyFont="1" applyBorder="1"/>
    <xf numFmtId="43" fontId="5" fillId="0" borderId="0" xfId="1" applyFont="1" applyBorder="1"/>
    <xf numFmtId="168" fontId="5" fillId="0" borderId="0" xfId="1" applyNumberFormat="1" applyFont="1" applyBorder="1"/>
    <xf numFmtId="168" fontId="6" fillId="0" borderId="0" xfId="1" applyNumberFormat="1" applyFont="1" applyBorder="1"/>
    <xf numFmtId="43" fontId="5" fillId="0" borderId="0" xfId="1" applyFont="1" applyBorder="1" applyAlignment="1">
      <alignment horizontal="right"/>
    </xf>
    <xf numFmtId="43" fontId="6" fillId="0" borderId="0" xfId="1" applyFont="1" applyBorder="1"/>
    <xf numFmtId="0" fontId="4" fillId="9" borderId="0" xfId="0" applyFont="1" applyFill="1" applyBorder="1" applyAlignment="1">
      <alignment horizontal="left" vertical="center"/>
    </xf>
    <xf numFmtId="0" fontId="0" fillId="9" borderId="0" xfId="0" applyFill="1"/>
    <xf numFmtId="0" fontId="10" fillId="0" borderId="7" xfId="0" applyFont="1" applyBorder="1" applyAlignment="1">
      <alignment horizontal="left" vertical="center" wrapText="1"/>
    </xf>
    <xf numFmtId="0" fontId="3" fillId="3" borderId="11" xfId="0" applyFont="1" applyFill="1" applyBorder="1" applyAlignment="1">
      <alignment horizontal="center" vertical="center" wrapText="1"/>
    </xf>
    <xf numFmtId="164" fontId="4" fillId="0" borderId="4" xfId="1" applyNumberFormat="1" applyFont="1" applyBorder="1" applyAlignment="1">
      <alignment horizontal="right" vertical="center" wrapText="1"/>
    </xf>
    <xf numFmtId="0" fontId="18" fillId="0" borderId="0" xfId="4" applyFont="1"/>
    <xf numFmtId="0" fontId="17" fillId="0" borderId="0" xfId="4"/>
    <xf numFmtId="0" fontId="18" fillId="0" borderId="22" xfId="4" applyFont="1" applyBorder="1"/>
    <xf numFmtId="0" fontId="18" fillId="0" borderId="23" xfId="4" applyFont="1" applyBorder="1" applyAlignment="1">
      <alignment horizontal="center"/>
    </xf>
    <xf numFmtId="0" fontId="18" fillId="0" borderId="24" xfId="4" applyFont="1" applyBorder="1" applyAlignment="1">
      <alignment horizontal="center"/>
    </xf>
    <xf numFmtId="0" fontId="18" fillId="0" borderId="25" xfId="4" applyFont="1" applyBorder="1"/>
    <xf numFmtId="164" fontId="0" fillId="0" borderId="26" xfId="5" applyNumberFormat="1" applyFont="1" applyBorder="1"/>
    <xf numFmtId="164" fontId="0" fillId="0" borderId="27" xfId="5" applyNumberFormat="1" applyFont="1" applyBorder="1"/>
    <xf numFmtId="0" fontId="18" fillId="0" borderId="28" xfId="4" applyFont="1" applyBorder="1"/>
    <xf numFmtId="164" fontId="0" fillId="0" borderId="29" xfId="5" applyNumberFormat="1" applyFont="1" applyBorder="1"/>
    <xf numFmtId="164" fontId="0" fillId="0" borderId="30" xfId="5" applyNumberFormat="1" applyFont="1" applyBorder="1"/>
    <xf numFmtId="0" fontId="17" fillId="0" borderId="31" xfId="4" applyBorder="1"/>
    <xf numFmtId="0" fontId="17" fillId="0" borderId="32" xfId="4" applyBorder="1"/>
    <xf numFmtId="0" fontId="19" fillId="0" borderId="35" xfId="4" applyFont="1" applyBorder="1"/>
    <xf numFmtId="0" fontId="13" fillId="0" borderId="23" xfId="4" applyFont="1" applyBorder="1"/>
    <xf numFmtId="164" fontId="13" fillId="8" borderId="24" xfId="5" applyNumberFormat="1" applyFont="1" applyFill="1" applyBorder="1"/>
    <xf numFmtId="164" fontId="13" fillId="0" borderId="24" xfId="5" applyNumberFormat="1" applyFont="1" applyBorder="1"/>
    <xf numFmtId="9" fontId="13" fillId="0" borderId="24" xfId="6" applyFont="1" applyBorder="1"/>
    <xf numFmtId="164" fontId="0" fillId="0" borderId="0" xfId="5" applyNumberFormat="1" applyFont="1"/>
    <xf numFmtId="0" fontId="13" fillId="0" borderId="26" xfId="4" applyFont="1" applyBorder="1"/>
    <xf numFmtId="169" fontId="13" fillId="0" borderId="27" xfId="7" applyNumberFormat="1" applyFont="1" applyBorder="1"/>
    <xf numFmtId="9" fontId="13" fillId="0" borderId="27" xfId="6" applyFont="1" applyBorder="1"/>
    <xf numFmtId="164" fontId="17" fillId="0" borderId="0" xfId="4" applyNumberFormat="1"/>
    <xf numFmtId="0" fontId="13" fillId="0" borderId="29" xfId="4" applyFont="1" applyBorder="1"/>
    <xf numFmtId="164" fontId="13" fillId="0" borderId="30" xfId="5" applyNumberFormat="1" applyFont="1" applyBorder="1"/>
    <xf numFmtId="9" fontId="13" fillId="0" borderId="30" xfId="6" applyFont="1" applyBorder="1"/>
    <xf numFmtId="0" fontId="13" fillId="0" borderId="22" xfId="4" applyFont="1" applyBorder="1"/>
    <xf numFmtId="164" fontId="13" fillId="0" borderId="38" xfId="5" applyNumberFormat="1" applyFont="1" applyBorder="1"/>
    <xf numFmtId="164" fontId="13" fillId="0" borderId="0" xfId="5" applyNumberFormat="1" applyFont="1" applyBorder="1"/>
    <xf numFmtId="0" fontId="13" fillId="0" borderId="39" xfId="4" applyFont="1" applyBorder="1"/>
    <xf numFmtId="164" fontId="13" fillId="0" borderId="40" xfId="5" applyNumberFormat="1" applyFont="1" applyBorder="1"/>
    <xf numFmtId="164" fontId="13" fillId="0" borderId="41" xfId="5" applyNumberFormat="1" applyFont="1" applyBorder="1"/>
    <xf numFmtId="0" fontId="13" fillId="0" borderId="25" xfId="4" applyFont="1" applyBorder="1"/>
    <xf numFmtId="169" fontId="13" fillId="0" borderId="0" xfId="7" applyNumberFormat="1" applyFont="1" applyBorder="1"/>
    <xf numFmtId="0" fontId="13" fillId="0" borderId="25" xfId="4" applyFont="1" applyBorder="1" applyAlignment="1">
      <alignment horizontal="right"/>
    </xf>
    <xf numFmtId="0" fontId="13" fillId="0" borderId="42" xfId="4" applyFont="1" applyBorder="1"/>
    <xf numFmtId="0" fontId="13" fillId="0" borderId="28" xfId="4" applyFont="1" applyBorder="1" applyAlignment="1">
      <alignment horizontal="right"/>
    </xf>
    <xf numFmtId="0" fontId="19" fillId="0" borderId="0" xfId="4" applyFont="1"/>
    <xf numFmtId="0" fontId="9" fillId="0" borderId="0" xfId="4" applyFont="1"/>
    <xf numFmtId="164" fontId="13" fillId="0" borderId="43" xfId="5" applyNumberFormat="1" applyFont="1" applyBorder="1"/>
    <xf numFmtId="44" fontId="13" fillId="0" borderId="40" xfId="7" applyFont="1" applyBorder="1"/>
    <xf numFmtId="44" fontId="13" fillId="0" borderId="44" xfId="7" applyFont="1" applyBorder="1"/>
    <xf numFmtId="44" fontId="13" fillId="0" borderId="27" xfId="7" applyFont="1" applyBorder="1"/>
    <xf numFmtId="44" fontId="13" fillId="0" borderId="45" xfId="7" applyFont="1" applyBorder="1"/>
    <xf numFmtId="44" fontId="13" fillId="0" borderId="30" xfId="7" applyFont="1" applyBorder="1"/>
    <xf numFmtId="44" fontId="13" fillId="0" borderId="46" xfId="7" applyFont="1" applyBorder="1"/>
    <xf numFmtId="0" fontId="13" fillId="0" borderId="34" xfId="4" applyFont="1" applyBorder="1"/>
    <xf numFmtId="169" fontId="13" fillId="0" borderId="35" xfId="7" applyNumberFormat="1" applyFont="1" applyBorder="1"/>
    <xf numFmtId="164" fontId="13" fillId="0" borderId="44" xfId="5" applyNumberFormat="1" applyFont="1" applyBorder="1"/>
    <xf numFmtId="169" fontId="13" fillId="0" borderId="45" xfId="7" applyNumberFormat="1" applyFont="1" applyBorder="1"/>
    <xf numFmtId="164" fontId="13" fillId="0" borderId="27" xfId="5" applyNumberFormat="1" applyFont="1" applyBorder="1"/>
    <xf numFmtId="164" fontId="13" fillId="0" borderId="45" xfId="5" applyNumberFormat="1" applyFont="1" applyBorder="1"/>
    <xf numFmtId="169" fontId="13" fillId="0" borderId="30" xfId="7" applyNumberFormat="1" applyFont="1" applyBorder="1"/>
    <xf numFmtId="169" fontId="13" fillId="0" borderId="46" xfId="7" applyNumberFormat="1" applyFont="1" applyBorder="1"/>
    <xf numFmtId="0" fontId="17" fillId="0" borderId="47" xfId="4" applyBorder="1"/>
    <xf numFmtId="0" fontId="18" fillId="0" borderId="47" xfId="4" applyFont="1" applyBorder="1"/>
    <xf numFmtId="0" fontId="17" fillId="0" borderId="22" xfId="4" applyBorder="1"/>
    <xf numFmtId="164" fontId="17" fillId="0" borderId="24" xfId="5" applyNumberFormat="1" applyFont="1" applyBorder="1"/>
    <xf numFmtId="164" fontId="17" fillId="0" borderId="43" xfId="5" applyNumberFormat="1" applyFont="1" applyBorder="1"/>
    <xf numFmtId="164" fontId="17" fillId="0" borderId="0" xfId="5" applyNumberFormat="1" applyFont="1" applyBorder="1"/>
    <xf numFmtId="0" fontId="17" fillId="0" borderId="25" xfId="4" applyBorder="1"/>
    <xf numFmtId="164" fontId="17" fillId="0" borderId="27" xfId="5" applyNumberFormat="1" applyFont="1" applyBorder="1"/>
    <xf numFmtId="169" fontId="17" fillId="0" borderId="0" xfId="7" applyNumberFormat="1" applyFont="1" applyBorder="1"/>
    <xf numFmtId="0" fontId="17" fillId="0" borderId="28" xfId="4" applyBorder="1"/>
    <xf numFmtId="164" fontId="17" fillId="0" borderId="30" xfId="5" applyNumberFormat="1" applyFont="1" applyBorder="1"/>
    <xf numFmtId="0" fontId="17" fillId="0" borderId="51" xfId="4" applyBorder="1"/>
    <xf numFmtId="164" fontId="17" fillId="0" borderId="40" xfId="5" applyNumberFormat="1" applyFont="1" applyBorder="1"/>
    <xf numFmtId="0" fontId="17" fillId="0" borderId="26" xfId="4" applyBorder="1"/>
    <xf numFmtId="169" fontId="17" fillId="0" borderId="27" xfId="7" applyNumberFormat="1" applyFont="1" applyBorder="1"/>
    <xf numFmtId="0" fontId="17" fillId="0" borderId="29" xfId="4" applyBorder="1"/>
    <xf numFmtId="164" fontId="17" fillId="0" borderId="30" xfId="4" applyNumberFormat="1" applyBorder="1"/>
    <xf numFmtId="0" fontId="17" fillId="0" borderId="23" xfId="4" applyBorder="1"/>
    <xf numFmtId="0" fontId="13" fillId="0" borderId="23" xfId="4" applyFont="1" applyBorder="1" applyAlignment="1">
      <alignment horizontal="center"/>
    </xf>
    <xf numFmtId="164" fontId="13" fillId="0" borderId="24" xfId="4" applyNumberFormat="1" applyFont="1" applyBorder="1"/>
    <xf numFmtId="164" fontId="13" fillId="0" borderId="0" xfId="4" applyNumberFormat="1" applyFont="1"/>
    <xf numFmtId="0" fontId="13" fillId="0" borderId="26" xfId="4" applyFont="1" applyBorder="1" applyAlignment="1">
      <alignment horizontal="center"/>
    </xf>
    <xf numFmtId="9" fontId="13" fillId="0" borderId="0" xfId="6" applyFont="1" applyBorder="1"/>
    <xf numFmtId="0" fontId="13" fillId="0" borderId="29" xfId="4" applyFont="1" applyBorder="1" applyAlignment="1">
      <alignment horizontal="center"/>
    </xf>
    <xf numFmtId="0" fontId="20" fillId="10" borderId="26" xfId="4" applyFont="1" applyFill="1" applyBorder="1" applyAlignment="1">
      <alignment vertical="center"/>
    </xf>
    <xf numFmtId="0" fontId="21" fillId="0" borderId="26" xfId="4" applyFont="1" applyBorder="1"/>
    <xf numFmtId="0" fontId="21" fillId="0" borderId="0" xfId="4" applyFont="1"/>
    <xf numFmtId="0" fontId="22" fillId="0" borderId="26" xfId="4" applyFont="1" applyBorder="1" applyAlignment="1">
      <alignment horizontal="center"/>
    </xf>
    <xf numFmtId="164" fontId="17" fillId="0" borderId="26" xfId="4" applyNumberFormat="1" applyBorder="1"/>
    <xf numFmtId="0" fontId="22" fillId="0" borderId="26" xfId="4" applyFont="1" applyBorder="1"/>
    <xf numFmtId="164" fontId="0" fillId="0" borderId="0" xfId="5" applyNumberFormat="1" applyFont="1" applyBorder="1"/>
    <xf numFmtId="9" fontId="0" fillId="0" borderId="26" xfId="6" applyFont="1" applyBorder="1"/>
    <xf numFmtId="9" fontId="0" fillId="0" borderId="0" xfId="6" applyFont="1" applyBorder="1"/>
    <xf numFmtId="9" fontId="17" fillId="0" borderId="26" xfId="4" applyNumberFormat="1" applyBorder="1"/>
    <xf numFmtId="9" fontId="17" fillId="0" borderId="0" xfId="4" applyNumberFormat="1"/>
    <xf numFmtId="0" fontId="20" fillId="0" borderId="0" xfId="4" applyFont="1" applyAlignment="1">
      <alignment vertical="center"/>
    </xf>
    <xf numFmtId="0" fontId="23" fillId="0" borderId="0" xfId="4" applyFont="1"/>
    <xf numFmtId="3" fontId="13" fillId="0" borderId="0" xfId="0" applyNumberFormat="1" applyFont="1"/>
    <xf numFmtId="14" fontId="13" fillId="0" borderId="0" xfId="0" applyNumberFormat="1" applyFont="1"/>
    <xf numFmtId="0" fontId="24" fillId="0" borderId="0" xfId="8"/>
    <xf numFmtId="3" fontId="12" fillId="0" borderId="0" xfId="0" applyNumberFormat="1" applyFont="1"/>
    <xf numFmtId="9" fontId="13" fillId="0" borderId="0" xfId="2" applyFont="1"/>
    <xf numFmtId="0" fontId="3" fillId="2" borderId="15"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5"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0" fillId="9" borderId="0" xfId="0" applyFill="1" applyAlignment="1">
      <alignment horizontal="center" wrapText="1"/>
    </xf>
    <xf numFmtId="0" fontId="18" fillId="11" borderId="48" xfId="4" applyFont="1" applyFill="1" applyBorder="1" applyAlignment="1">
      <alignment horizontal="center" vertical="center"/>
    </xf>
    <xf numFmtId="0" fontId="18" fillId="11" borderId="49" xfId="4" applyFont="1" applyFill="1" applyBorder="1" applyAlignment="1">
      <alignment horizontal="center" vertical="center"/>
    </xf>
    <xf numFmtId="0" fontId="18" fillId="11" borderId="50" xfId="4" applyFont="1" applyFill="1" applyBorder="1" applyAlignment="1">
      <alignment horizontal="center" vertical="center"/>
    </xf>
    <xf numFmtId="0" fontId="18" fillId="10" borderId="22" xfId="4" applyFont="1" applyFill="1" applyBorder="1" applyAlignment="1">
      <alignment horizontal="center" vertical="center" wrapText="1"/>
    </xf>
    <xf numFmtId="0" fontId="18" fillId="10" borderId="25" xfId="4" applyFont="1" applyFill="1" applyBorder="1" applyAlignment="1">
      <alignment horizontal="center" vertical="center" wrapText="1"/>
    </xf>
    <xf numFmtId="0" fontId="18" fillId="10" borderId="28" xfId="4" applyFont="1" applyFill="1" applyBorder="1" applyAlignment="1">
      <alignment horizontal="center" vertical="center" wrapText="1"/>
    </xf>
    <xf numFmtId="0" fontId="19" fillId="10" borderId="22" xfId="4" applyFont="1" applyFill="1" applyBorder="1" applyAlignment="1">
      <alignment horizontal="center" vertical="center"/>
    </xf>
    <xf numFmtId="0" fontId="19" fillId="10" borderId="25" xfId="4" applyFont="1" applyFill="1" applyBorder="1" applyAlignment="1">
      <alignment horizontal="center" vertical="center"/>
    </xf>
    <xf numFmtId="0" fontId="19" fillId="10" borderId="28" xfId="4" applyFont="1" applyFill="1" applyBorder="1" applyAlignment="1">
      <alignment horizontal="center" vertical="center"/>
    </xf>
    <xf numFmtId="0" fontId="12" fillId="10" borderId="22" xfId="4" applyFont="1" applyFill="1" applyBorder="1" applyAlignment="1">
      <alignment horizontal="center" vertical="center"/>
    </xf>
    <xf numFmtId="0" fontId="12" fillId="10" borderId="25" xfId="4" applyFont="1" applyFill="1" applyBorder="1" applyAlignment="1">
      <alignment horizontal="center" vertical="center"/>
    </xf>
    <xf numFmtId="0" fontId="12" fillId="10" borderId="28" xfId="4" applyFont="1" applyFill="1" applyBorder="1" applyAlignment="1">
      <alignment horizontal="center" vertical="center"/>
    </xf>
    <xf numFmtId="0" fontId="19" fillId="11" borderId="22" xfId="4" applyFont="1" applyFill="1" applyBorder="1" applyAlignment="1">
      <alignment horizontal="center" vertical="center"/>
    </xf>
    <xf numFmtId="0" fontId="19" fillId="11" borderId="25" xfId="4" applyFont="1" applyFill="1" applyBorder="1" applyAlignment="1">
      <alignment horizontal="center" vertical="center"/>
    </xf>
    <xf numFmtId="0" fontId="19" fillId="11" borderId="28" xfId="4" applyFont="1" applyFill="1" applyBorder="1" applyAlignment="1">
      <alignment horizontal="center" vertical="center"/>
    </xf>
    <xf numFmtId="0" fontId="19" fillId="12" borderId="36" xfId="4" applyFont="1" applyFill="1" applyBorder="1" applyAlignment="1">
      <alignment horizontal="center" vertical="center"/>
    </xf>
    <xf numFmtId="0" fontId="19" fillId="12" borderId="37" xfId="4" applyFont="1" applyFill="1" applyBorder="1" applyAlignment="1">
      <alignment horizontal="center" vertical="center"/>
    </xf>
    <xf numFmtId="0" fontId="19" fillId="12" borderId="33" xfId="4" applyFont="1" applyFill="1" applyBorder="1" applyAlignment="1">
      <alignment horizontal="center" vertical="center"/>
    </xf>
    <xf numFmtId="0" fontId="19" fillId="10" borderId="9" xfId="4" applyFont="1" applyFill="1" applyBorder="1" applyAlignment="1">
      <alignment horizontal="center" vertical="center"/>
    </xf>
    <xf numFmtId="0" fontId="19" fillId="10" borderId="8" xfId="4" applyFont="1" applyFill="1" applyBorder="1" applyAlignment="1">
      <alignment horizontal="center" vertical="center"/>
    </xf>
    <xf numFmtId="0" fontId="19" fillId="10" borderId="7" xfId="4" applyFont="1" applyFill="1" applyBorder="1" applyAlignment="1">
      <alignment horizontal="center" vertical="center"/>
    </xf>
    <xf numFmtId="0" fontId="19" fillId="0" borderId="33" xfId="4" applyFont="1" applyBorder="1" applyAlignment="1">
      <alignment horizontal="left"/>
    </xf>
    <xf numFmtId="0" fontId="19" fillId="0" borderId="34" xfId="4" applyFont="1" applyBorder="1" applyAlignment="1">
      <alignment horizontal="left"/>
    </xf>
    <xf numFmtId="0" fontId="12" fillId="0" borderId="20" xfId="0" applyFont="1" applyBorder="1" applyAlignment="1">
      <alignment horizontal="center"/>
    </xf>
    <xf numFmtId="0" fontId="3" fillId="5" borderId="18"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0" fillId="13" borderId="0" xfId="0" applyFill="1"/>
    <xf numFmtId="0" fontId="3" fillId="3" borderId="10" xfId="0" applyFont="1" applyFill="1" applyBorder="1" applyAlignment="1">
      <alignment horizontal="center" vertical="center"/>
    </xf>
    <xf numFmtId="0" fontId="25" fillId="14" borderId="13" xfId="0" applyFont="1" applyFill="1" applyBorder="1" applyAlignment="1">
      <alignment horizontal="left" vertical="center"/>
    </xf>
    <xf numFmtId="0" fontId="25" fillId="14" borderId="14" xfId="0" applyFont="1" applyFill="1" applyBorder="1" applyAlignment="1">
      <alignment horizontal="center" vertical="center"/>
    </xf>
    <xf numFmtId="9" fontId="25" fillId="14" borderId="14" xfId="0" applyNumberFormat="1" applyFont="1" applyFill="1" applyBorder="1" applyAlignment="1">
      <alignment horizontal="center" vertical="center" wrapText="1"/>
    </xf>
    <xf numFmtId="6" fontId="25" fillId="14" borderId="14" xfId="0" applyNumberFormat="1" applyFont="1" applyFill="1" applyBorder="1" applyAlignment="1">
      <alignment horizontal="center" vertical="center" wrapText="1"/>
    </xf>
    <xf numFmtId="3" fontId="25" fillId="14" borderId="14" xfId="0" applyNumberFormat="1" applyFont="1" applyFill="1" applyBorder="1" applyAlignment="1">
      <alignment horizontal="center" vertical="center"/>
    </xf>
    <xf numFmtId="0" fontId="25" fillId="9" borderId="0" xfId="0" applyFont="1" applyFill="1" applyBorder="1" applyAlignment="1">
      <alignment horizontal="left" vertical="center"/>
    </xf>
    <xf numFmtId="0" fontId="26" fillId="3" borderId="5" xfId="0" applyFont="1" applyFill="1" applyBorder="1" applyAlignment="1">
      <alignment horizontal="left" vertical="center" wrapText="1"/>
    </xf>
    <xf numFmtId="0" fontId="26" fillId="3" borderId="6" xfId="0" applyFont="1" applyFill="1" applyBorder="1" applyAlignment="1">
      <alignment horizontal="right" vertical="center" wrapText="1"/>
    </xf>
    <xf numFmtId="0" fontId="13" fillId="0" borderId="7" xfId="0" applyFont="1" applyBorder="1" applyAlignment="1">
      <alignment horizontal="left" vertical="center" wrapText="1"/>
    </xf>
    <xf numFmtId="3" fontId="13" fillId="0" borderId="4" xfId="0" applyNumberFormat="1" applyFont="1" applyBorder="1" applyAlignment="1">
      <alignment horizontal="right" vertical="center" wrapText="1"/>
    </xf>
    <xf numFmtId="0" fontId="3" fillId="3" borderId="6" xfId="0" applyFont="1" applyFill="1" applyBorder="1" applyAlignment="1">
      <alignment horizontal="right" vertical="center" wrapText="1"/>
    </xf>
    <xf numFmtId="0" fontId="10" fillId="0" borderId="4" xfId="0" applyFont="1" applyBorder="1" applyAlignment="1">
      <alignment horizontal="right" vertical="center" wrapText="1"/>
    </xf>
    <xf numFmtId="3" fontId="10" fillId="0" borderId="4" xfId="0" applyNumberFormat="1" applyFont="1" applyBorder="1" applyAlignment="1">
      <alignment horizontal="right" vertical="center" wrapText="1"/>
    </xf>
    <xf numFmtId="0" fontId="10" fillId="9" borderId="0" xfId="0" applyFont="1" applyFill="1" applyBorder="1" applyAlignment="1">
      <alignment horizontal="left" vertical="center" wrapText="1"/>
    </xf>
    <xf numFmtId="0" fontId="10" fillId="9" borderId="0" xfId="0" applyFont="1" applyFill="1" applyBorder="1" applyAlignment="1">
      <alignment horizontal="left" vertical="center" wrapText="1"/>
    </xf>
    <xf numFmtId="0" fontId="13" fillId="9" borderId="0" xfId="0" applyFont="1" applyFill="1" applyBorder="1" applyAlignment="1">
      <alignment horizontal="center" vertical="center" wrapText="1"/>
    </xf>
  </cellXfs>
  <cellStyles count="9">
    <cellStyle name="Comma" xfId="1" builtinId="3"/>
    <cellStyle name="Comma 2" xfId="5" xr:uid="{8AEAA0F6-55E9-493A-8092-D1BD8A8787B1}"/>
    <cellStyle name="Currency 2" xfId="7" xr:uid="{3542132D-D7C5-4B80-B2B9-8F4BAF302EC0}"/>
    <cellStyle name="Normal" xfId="0" builtinId="0"/>
    <cellStyle name="Normal 10" xfId="8" xr:uid="{328B89CA-C8AD-4A78-9F8D-375A67ED3B7B}"/>
    <cellStyle name="Normal 2" xfId="4" xr:uid="{3992AC92-70F6-4521-998D-F9C2554AD66B}"/>
    <cellStyle name="Percent" xfId="2" builtinId="5"/>
    <cellStyle name="Percent 2" xfId="6" xr:uid="{CCCA9A15-D4A2-4C61-85A9-F135DE3BFFBA}"/>
    <cellStyle name="Style0" xfId="3" xr:uid="{D2FFCDCE-D1F7-4659-A79B-D77E380BEC31}"/>
  </cellStyles>
  <dxfs count="0"/>
  <tableStyles count="0" defaultTableStyle="TableStyleMedium2" defaultPivotStyle="PivotStyleLight16"/>
  <colors>
    <mruColors>
      <color rgb="FF9BBB59"/>
      <color rgb="FFFFE900"/>
      <color rgb="FF00B5EF"/>
      <color rgb="FFF58021"/>
      <color rgb="FF0076BE"/>
      <color rgb="FF2CB34A"/>
      <color rgb="FF002A5F"/>
      <color rgb="FFC0504D"/>
      <color rgb="FF4F81BD"/>
      <color rgb="FF806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Diversity, Small Business and Community Utilization </a:t>
            </a:r>
            <a:r>
              <a:rPr lang="en-US" sz="1200" baseline="0"/>
              <a:t>%</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3.5 '!$C$67</c:f>
              <c:strCache>
                <c:ptCount val="1"/>
                <c:pt idx="0">
                  <c:v>Supplier Diversity %</c:v>
                </c:pt>
              </c:strCache>
            </c:strRef>
          </c:tx>
          <c:spPr>
            <a:solidFill>
              <a:srgbClr val="0076BE"/>
            </a:solidFill>
            <a:ln>
              <a:noFill/>
            </a:ln>
            <a:effectLst/>
          </c:spPr>
          <c:invertIfNegative val="0"/>
          <c:cat>
            <c:strRef>
              <c:f>'Figure 3.5 '!$D$68:$E$68</c:f>
              <c:strCache>
                <c:ptCount val="2"/>
                <c:pt idx="0">
                  <c:v>2020</c:v>
                </c:pt>
                <c:pt idx="1">
                  <c:v>2021 YTD (June)</c:v>
                </c:pt>
              </c:strCache>
            </c:strRef>
          </c:cat>
          <c:val>
            <c:numRef>
              <c:f>'Figure 3.5 '!$D$69:$E$69</c:f>
              <c:numCache>
                <c:formatCode>0.0%</c:formatCode>
                <c:ptCount val="2"/>
                <c:pt idx="0">
                  <c:v>1.6E-2</c:v>
                </c:pt>
                <c:pt idx="1">
                  <c:v>5.8999999999999997E-2</c:v>
                </c:pt>
              </c:numCache>
            </c:numRef>
          </c:val>
          <c:extLst>
            <c:ext xmlns:c16="http://schemas.microsoft.com/office/drawing/2014/chart" uri="{C3380CC4-5D6E-409C-BE32-E72D297353CC}">
              <c16:uniqueId val="{00000000-01AE-462C-BA2D-EB0EAE7A9BBA}"/>
            </c:ext>
          </c:extLst>
        </c:ser>
        <c:ser>
          <c:idx val="1"/>
          <c:order val="1"/>
          <c:tx>
            <c:strRef>
              <c:f>'Figure 3.5 '!$C$68</c:f>
              <c:strCache>
                <c:ptCount val="1"/>
                <c:pt idx="0">
                  <c:v>Small Business %</c:v>
                </c:pt>
              </c:strCache>
            </c:strRef>
          </c:tx>
          <c:spPr>
            <a:solidFill>
              <a:srgbClr val="2CB34A"/>
            </a:solidFill>
            <a:ln>
              <a:noFill/>
            </a:ln>
            <a:effectLst/>
          </c:spPr>
          <c:invertIfNegative val="0"/>
          <c:cat>
            <c:strRef>
              <c:f>'Figure 3.5 '!$D$68:$E$68</c:f>
              <c:strCache>
                <c:ptCount val="2"/>
                <c:pt idx="0">
                  <c:v>2020</c:v>
                </c:pt>
                <c:pt idx="1">
                  <c:v>2021 YTD (June)</c:v>
                </c:pt>
              </c:strCache>
            </c:strRef>
          </c:cat>
          <c:val>
            <c:numRef>
              <c:f>'Figure 3.5 '!$D$70:$E$70</c:f>
              <c:numCache>
                <c:formatCode>0.0%</c:formatCode>
                <c:ptCount val="2"/>
                <c:pt idx="0">
                  <c:v>5.6000000000000001E-2</c:v>
                </c:pt>
                <c:pt idx="1">
                  <c:v>6.7000000000000004E-2</c:v>
                </c:pt>
              </c:numCache>
            </c:numRef>
          </c:val>
          <c:extLst>
            <c:ext xmlns:c16="http://schemas.microsoft.com/office/drawing/2014/chart" uri="{C3380CC4-5D6E-409C-BE32-E72D297353CC}">
              <c16:uniqueId val="{00000001-01AE-462C-BA2D-EB0EAE7A9BBA}"/>
            </c:ext>
          </c:extLst>
        </c:ser>
        <c:ser>
          <c:idx val="2"/>
          <c:order val="2"/>
          <c:tx>
            <c:strRef>
              <c:f>'Figure 3.5 '!$C$69</c:f>
              <c:strCache>
                <c:ptCount val="1"/>
                <c:pt idx="0">
                  <c:v>Community %</c:v>
                </c:pt>
              </c:strCache>
            </c:strRef>
          </c:tx>
          <c:spPr>
            <a:solidFill>
              <a:srgbClr val="F58021"/>
            </a:solidFill>
            <a:ln>
              <a:noFill/>
            </a:ln>
            <a:effectLst/>
          </c:spPr>
          <c:invertIfNegative val="0"/>
          <c:cat>
            <c:strRef>
              <c:f>'Figure 3.5 '!$D$68:$E$68</c:f>
              <c:strCache>
                <c:ptCount val="2"/>
                <c:pt idx="0">
                  <c:v>2020</c:v>
                </c:pt>
                <c:pt idx="1">
                  <c:v>2021 YTD (June)</c:v>
                </c:pt>
              </c:strCache>
            </c:strRef>
          </c:cat>
          <c:val>
            <c:numRef>
              <c:f>'Figure 3.5 '!$D$71:$E$71</c:f>
              <c:numCache>
                <c:formatCode>0.0%</c:formatCode>
                <c:ptCount val="2"/>
                <c:pt idx="0">
                  <c:v>0.16</c:v>
                </c:pt>
                <c:pt idx="1">
                  <c:v>0.192</c:v>
                </c:pt>
              </c:numCache>
            </c:numRef>
          </c:val>
          <c:extLst>
            <c:ext xmlns:c16="http://schemas.microsoft.com/office/drawing/2014/chart" uri="{C3380CC4-5D6E-409C-BE32-E72D297353CC}">
              <c16:uniqueId val="{00000002-01AE-462C-BA2D-EB0EAE7A9BBA}"/>
            </c:ext>
          </c:extLst>
        </c:ser>
        <c:dLbls>
          <c:showLegendKey val="0"/>
          <c:showVal val="0"/>
          <c:showCatName val="0"/>
          <c:showSerName val="0"/>
          <c:showPercent val="0"/>
          <c:showBubbleSize val="0"/>
        </c:dLbls>
        <c:gapWidth val="219"/>
        <c:overlap val="-27"/>
        <c:axId val="1766079200"/>
        <c:axId val="1566794896"/>
      </c:barChart>
      <c:catAx>
        <c:axId val="176607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794896"/>
        <c:crosses val="autoZero"/>
        <c:auto val="1"/>
        <c:lblAlgn val="ctr"/>
        <c:lblOffset val="100"/>
        <c:noMultiLvlLbl val="0"/>
      </c:catAx>
      <c:valAx>
        <c:axId val="15667948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07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13545365652821"/>
          <c:y val="3.9059026940942862E-2"/>
          <c:w val="0.83789940473127134"/>
          <c:h val="0.87190987737646364"/>
        </c:manualLayout>
      </c:layout>
      <c:barChart>
        <c:barDir val="col"/>
        <c:grouping val="clustered"/>
        <c:varyColors val="0"/>
        <c:ser>
          <c:idx val="0"/>
          <c:order val="0"/>
          <c:tx>
            <c:strRef>
              <c:f>'Figure 3.10'!$D$2</c:f>
              <c:strCache>
                <c:ptCount val="1"/>
                <c:pt idx="0">
                  <c:v>Winter</c:v>
                </c:pt>
              </c:strCache>
            </c:strRef>
          </c:tx>
          <c:spPr>
            <a:solidFill>
              <a:srgbClr val="0076B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3.10'!$D$12:$H$12</c:f>
              <c:numCache>
                <c:formatCode>General</c:formatCode>
                <c:ptCount val="5"/>
                <c:pt idx="0">
                  <c:v>2016</c:v>
                </c:pt>
                <c:pt idx="1">
                  <c:v>2017</c:v>
                </c:pt>
                <c:pt idx="2">
                  <c:v>2018</c:v>
                </c:pt>
                <c:pt idx="3">
                  <c:v>2019</c:v>
                </c:pt>
                <c:pt idx="4">
                  <c:v>2020</c:v>
                </c:pt>
              </c:numCache>
            </c:numRef>
          </c:cat>
          <c:val>
            <c:numRef>
              <c:f>'Figure 3.10'!$D$41:$H$41</c:f>
              <c:numCache>
                <c:formatCode>0%</c:formatCode>
                <c:ptCount val="5"/>
                <c:pt idx="0">
                  <c:v>0.28356495468277959</c:v>
                </c:pt>
                <c:pt idx="1">
                  <c:v>0.32778108268887568</c:v>
                </c:pt>
                <c:pt idx="2">
                  <c:v>0.4495176848874598</c:v>
                </c:pt>
                <c:pt idx="3">
                  <c:v>0.41635455680399502</c:v>
                </c:pt>
                <c:pt idx="4">
                  <c:v>0.46187228766274024</c:v>
                </c:pt>
              </c:numCache>
            </c:numRef>
          </c:val>
          <c:extLst>
            <c:ext xmlns:c16="http://schemas.microsoft.com/office/drawing/2014/chart" uri="{C3380CC4-5D6E-409C-BE32-E72D297353CC}">
              <c16:uniqueId val="{00000000-D03D-48E6-A265-C4C0CD32D6EA}"/>
            </c:ext>
          </c:extLst>
        </c:ser>
        <c:ser>
          <c:idx val="1"/>
          <c:order val="1"/>
          <c:tx>
            <c:strRef>
              <c:f>'Figure 3.10'!$J$2</c:f>
              <c:strCache>
                <c:ptCount val="1"/>
                <c:pt idx="0">
                  <c:v>Summer</c:v>
                </c:pt>
              </c:strCache>
            </c:strRef>
          </c:tx>
          <c:spPr>
            <a:solidFill>
              <a:srgbClr val="82C3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3.10'!$D$12:$H$12</c:f>
              <c:numCache>
                <c:formatCode>General</c:formatCode>
                <c:ptCount val="5"/>
                <c:pt idx="0">
                  <c:v>2016</c:v>
                </c:pt>
                <c:pt idx="1">
                  <c:v>2017</c:v>
                </c:pt>
                <c:pt idx="2">
                  <c:v>2018</c:v>
                </c:pt>
                <c:pt idx="3">
                  <c:v>2019</c:v>
                </c:pt>
                <c:pt idx="4">
                  <c:v>2020</c:v>
                </c:pt>
              </c:numCache>
            </c:numRef>
          </c:cat>
          <c:val>
            <c:numRef>
              <c:f>'Figure 3.10'!$J$41:$N$41</c:f>
              <c:numCache>
                <c:formatCode>0%</c:formatCode>
                <c:ptCount val="5"/>
                <c:pt idx="0">
                  <c:v>0.1751732829237555</c:v>
                </c:pt>
                <c:pt idx="1">
                  <c:v>0.23370927318295739</c:v>
                </c:pt>
                <c:pt idx="2">
                  <c:v>0.17307692307692307</c:v>
                </c:pt>
                <c:pt idx="3">
                  <c:v>0.26992753623188404</c:v>
                </c:pt>
                <c:pt idx="4">
                  <c:v>0.25043579314352121</c:v>
                </c:pt>
              </c:numCache>
            </c:numRef>
          </c:val>
          <c:extLst>
            <c:ext xmlns:c16="http://schemas.microsoft.com/office/drawing/2014/chart" uri="{C3380CC4-5D6E-409C-BE32-E72D297353CC}">
              <c16:uniqueId val="{00000001-D03D-48E6-A265-C4C0CD32D6EA}"/>
            </c:ext>
          </c:extLst>
        </c:ser>
        <c:dLbls>
          <c:showLegendKey val="0"/>
          <c:showVal val="0"/>
          <c:showCatName val="0"/>
          <c:showSerName val="0"/>
          <c:showPercent val="0"/>
          <c:showBubbleSize val="0"/>
        </c:dLbls>
        <c:gapWidth val="219"/>
        <c:overlap val="-27"/>
        <c:axId val="1452652959"/>
        <c:axId val="1064049663"/>
      </c:barChart>
      <c:catAx>
        <c:axId val="145265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4049663"/>
        <c:crosses val="autoZero"/>
        <c:auto val="1"/>
        <c:lblAlgn val="ctr"/>
        <c:lblOffset val="100"/>
        <c:noMultiLvlLbl val="0"/>
      </c:catAx>
      <c:valAx>
        <c:axId val="1064049663"/>
        <c:scaling>
          <c:orientation val="minMax"/>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t>Resource Percent Above Load</a:t>
                </a:r>
              </a:p>
            </c:rich>
          </c:tx>
          <c:layout>
            <c:manualLayout>
              <c:xMode val="edge"/>
              <c:yMode val="edge"/>
              <c:x val="2.3518432744926491E-2"/>
              <c:y val="0.1787421595364137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52652959"/>
        <c:crosses val="autoZero"/>
        <c:crossBetween val="between"/>
      </c:valAx>
      <c:spPr>
        <a:noFill/>
        <a:ln>
          <a:solidFill>
            <a:schemeClr val="tx1"/>
          </a:solidFill>
        </a:ln>
        <a:effectLst/>
      </c:spPr>
    </c:plotArea>
    <c:legend>
      <c:legendPos val="b"/>
      <c:layout>
        <c:manualLayout>
          <c:xMode val="edge"/>
          <c:yMode val="edge"/>
          <c:x val="0.16994338942926251"/>
          <c:y val="7.0022462435393243E-2"/>
          <c:w val="0.18565330150967385"/>
          <c:h val="5.09366085546565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3.11'!$A$39</c:f>
              <c:strCache>
                <c:ptCount val="1"/>
                <c:pt idx="0">
                  <c:v>Percent of Gen in WA</c:v>
                </c:pt>
              </c:strCache>
            </c:strRef>
          </c:tx>
          <c:spPr>
            <a:solidFill>
              <a:srgbClr val="0076B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3.11'!$B$4:$F$4</c:f>
              <c:numCache>
                <c:formatCode>General</c:formatCode>
                <c:ptCount val="5"/>
                <c:pt idx="0">
                  <c:v>2016</c:v>
                </c:pt>
                <c:pt idx="1">
                  <c:v>2017</c:v>
                </c:pt>
                <c:pt idx="2">
                  <c:v>2018</c:v>
                </c:pt>
                <c:pt idx="3">
                  <c:v>2019</c:v>
                </c:pt>
                <c:pt idx="4">
                  <c:v>2020</c:v>
                </c:pt>
              </c:numCache>
            </c:numRef>
          </c:cat>
          <c:val>
            <c:numRef>
              <c:f>'Figure 3.11'!$B$39:$F$39</c:f>
              <c:numCache>
                <c:formatCode>0.0%</c:formatCode>
                <c:ptCount val="5"/>
                <c:pt idx="0">
                  <c:v>0.77793130293901391</c:v>
                </c:pt>
                <c:pt idx="1">
                  <c:v>0.78845322607331358</c:v>
                </c:pt>
                <c:pt idx="2">
                  <c:v>0.83680330310330064</c:v>
                </c:pt>
                <c:pt idx="3">
                  <c:v>0.80122200554974043</c:v>
                </c:pt>
                <c:pt idx="4">
                  <c:v>0.78225909581088893</c:v>
                </c:pt>
              </c:numCache>
            </c:numRef>
          </c:val>
          <c:extLst>
            <c:ext xmlns:c16="http://schemas.microsoft.com/office/drawing/2014/chart" uri="{C3380CC4-5D6E-409C-BE32-E72D297353CC}">
              <c16:uniqueId val="{00000000-3D5D-46A2-892D-F0294FA1C263}"/>
            </c:ext>
          </c:extLst>
        </c:ser>
        <c:dLbls>
          <c:showLegendKey val="0"/>
          <c:showVal val="0"/>
          <c:showCatName val="0"/>
          <c:showSerName val="0"/>
          <c:showPercent val="0"/>
          <c:showBubbleSize val="0"/>
        </c:dLbls>
        <c:gapWidth val="219"/>
        <c:overlap val="-27"/>
        <c:axId val="499600048"/>
        <c:axId val="888618752"/>
      </c:barChart>
      <c:catAx>
        <c:axId val="49960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8618752"/>
        <c:crosses val="autoZero"/>
        <c:auto val="1"/>
        <c:lblAlgn val="ctr"/>
        <c:lblOffset val="100"/>
        <c:noMultiLvlLbl val="0"/>
      </c:catAx>
      <c:valAx>
        <c:axId val="88861875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9600048"/>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6032644356955"/>
          <c:y val="5.0925925925925923E-2"/>
          <c:w val="0.83421751968503943"/>
          <c:h val="0.841674686497521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3.12'!$B$31:$B$35</c:f>
              <c:numCache>
                <c:formatCode>General</c:formatCode>
                <c:ptCount val="5"/>
                <c:pt idx="0">
                  <c:v>2016</c:v>
                </c:pt>
                <c:pt idx="1">
                  <c:v>2017</c:v>
                </c:pt>
                <c:pt idx="2">
                  <c:v>2018</c:v>
                </c:pt>
                <c:pt idx="3">
                  <c:v>2019</c:v>
                </c:pt>
                <c:pt idx="4">
                  <c:v>2020</c:v>
                </c:pt>
              </c:numCache>
            </c:numRef>
          </c:cat>
          <c:val>
            <c:numRef>
              <c:f>'Figure 3.12'!$J$31:$J$35</c:f>
              <c:numCache>
                <c:formatCode>_(* #,##0.0_);_(* \(#,##0.0\);_(* "-"??_);_(@_)</c:formatCode>
                <c:ptCount val="5"/>
                <c:pt idx="0">
                  <c:v>0.14084282132762724</c:v>
                </c:pt>
                <c:pt idx="1">
                  <c:v>15.559430649808693</c:v>
                </c:pt>
                <c:pt idx="2">
                  <c:v>11.704233436234741</c:v>
                </c:pt>
                <c:pt idx="3">
                  <c:v>0.89247575043603322</c:v>
                </c:pt>
                <c:pt idx="4">
                  <c:v>7.3142322040810166</c:v>
                </c:pt>
              </c:numCache>
            </c:numRef>
          </c:val>
          <c:extLst>
            <c:ext xmlns:c16="http://schemas.microsoft.com/office/drawing/2014/chart" uri="{C3380CC4-5D6E-409C-BE32-E72D297353CC}">
              <c16:uniqueId val="{00000000-E899-4FAB-943D-4EBC92E03D45}"/>
            </c:ext>
          </c:extLst>
        </c:ser>
        <c:dLbls>
          <c:showLegendKey val="0"/>
          <c:showVal val="0"/>
          <c:showCatName val="0"/>
          <c:showSerName val="0"/>
          <c:showPercent val="0"/>
          <c:showBubbleSize val="0"/>
        </c:dLbls>
        <c:gapWidth val="219"/>
        <c:overlap val="-27"/>
        <c:axId val="293414624"/>
        <c:axId val="491099648"/>
      </c:barChart>
      <c:catAx>
        <c:axId val="2934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1099648"/>
        <c:crosses val="autoZero"/>
        <c:auto val="1"/>
        <c:lblAlgn val="ctr"/>
        <c:lblOffset val="100"/>
        <c:noMultiLvlLbl val="0"/>
      </c:catAx>
      <c:valAx>
        <c:axId val="49109964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Weighted Average Days</a:t>
                </a:r>
              </a:p>
            </c:rich>
          </c:tx>
          <c:layout>
            <c:manualLayout>
              <c:xMode val="edge"/>
              <c:yMode val="edge"/>
              <c:x val="1.6657917760279965E-2"/>
              <c:y val="0.19480569611112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3414624"/>
        <c:crosses val="autoZero"/>
        <c:crossBetween val="between"/>
        <c:majorUnit val="4"/>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SO2</a:t>
            </a:r>
          </a:p>
        </c:rich>
      </c:tx>
      <c:layout>
        <c:manualLayout>
          <c:xMode val="edge"/>
          <c:yMode val="edge"/>
          <c:x val="0.48331233595800527"/>
          <c:y val="3.7037037037037035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0076BE"/>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3.13'!$D$4:$H$4</c:f>
              <c:numCache>
                <c:formatCode>General</c:formatCode>
                <c:ptCount val="5"/>
                <c:pt idx="0">
                  <c:v>2016</c:v>
                </c:pt>
                <c:pt idx="1">
                  <c:v>2017</c:v>
                </c:pt>
                <c:pt idx="2">
                  <c:v>2018</c:v>
                </c:pt>
                <c:pt idx="3">
                  <c:v>2019</c:v>
                </c:pt>
                <c:pt idx="4">
                  <c:v>2020</c:v>
                </c:pt>
              </c:numCache>
            </c:numRef>
          </c:cat>
          <c:val>
            <c:numRef>
              <c:f>'Figure 3.13'!$D$14:$H$14</c:f>
              <c:numCache>
                <c:formatCode>_(* #,##0.0_);_(* \(#,##0.0\);_(* "-"??_);_(@_)</c:formatCode>
                <c:ptCount val="5"/>
                <c:pt idx="0">
                  <c:v>4.071924086582448</c:v>
                </c:pt>
                <c:pt idx="1">
                  <c:v>1.4596422512135336</c:v>
                </c:pt>
                <c:pt idx="2">
                  <c:v>1.6618622585143772</c:v>
                </c:pt>
                <c:pt idx="3">
                  <c:v>1.6004988066443206</c:v>
                </c:pt>
                <c:pt idx="4">
                  <c:v>1.4000000000000001</c:v>
                </c:pt>
              </c:numCache>
            </c:numRef>
          </c:val>
          <c:extLst>
            <c:ext xmlns:c16="http://schemas.microsoft.com/office/drawing/2014/chart" uri="{C3380CC4-5D6E-409C-BE32-E72D297353CC}">
              <c16:uniqueId val="{00000000-FED2-4EB8-B51B-F3F5E1819ED3}"/>
            </c:ext>
          </c:extLst>
        </c:ser>
        <c:dLbls>
          <c:showLegendKey val="0"/>
          <c:showVal val="0"/>
          <c:showCatName val="0"/>
          <c:showSerName val="0"/>
          <c:showPercent val="0"/>
          <c:showBubbleSize val="0"/>
        </c:dLbls>
        <c:gapWidth val="219"/>
        <c:overlap val="-27"/>
        <c:axId val="1966292767"/>
        <c:axId val="322497839"/>
      </c:barChart>
      <c:catAx>
        <c:axId val="196629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497839"/>
        <c:crosses val="autoZero"/>
        <c:auto val="1"/>
        <c:lblAlgn val="ctr"/>
        <c:lblOffset val="100"/>
        <c:noMultiLvlLbl val="0"/>
      </c:catAx>
      <c:valAx>
        <c:axId val="322497839"/>
        <c:scaling>
          <c:orientation val="minMax"/>
          <c:max val="5"/>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Metric Tons</a:t>
                </a:r>
              </a:p>
            </c:rich>
          </c:tx>
          <c:layout>
            <c:manualLayout>
              <c:xMode val="edge"/>
              <c:yMode val="edge"/>
              <c:x val="1.6666666666666666E-2"/>
              <c:y val="0.3459066054243219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6292767"/>
        <c:crosses val="autoZero"/>
        <c:crossBetween val="between"/>
        <c:majorUnit val="1"/>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NOx</a:t>
            </a:r>
          </a:p>
        </c:rich>
      </c:tx>
      <c:layout>
        <c:manualLayout>
          <c:xMode val="edge"/>
          <c:yMode val="edge"/>
          <c:x val="0.48331233595800527"/>
          <c:y val="3.7037037037037035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2CB34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3.13'!$D$4:$H$4</c:f>
              <c:numCache>
                <c:formatCode>General</c:formatCode>
                <c:ptCount val="5"/>
                <c:pt idx="0">
                  <c:v>2016</c:v>
                </c:pt>
                <c:pt idx="1">
                  <c:v>2017</c:v>
                </c:pt>
                <c:pt idx="2">
                  <c:v>2018</c:v>
                </c:pt>
                <c:pt idx="3">
                  <c:v>2019</c:v>
                </c:pt>
                <c:pt idx="4">
                  <c:v>2020</c:v>
                </c:pt>
              </c:numCache>
            </c:numRef>
          </c:cat>
          <c:val>
            <c:numRef>
              <c:f>'Figure 3.13'!$D$28:$H$28</c:f>
              <c:numCache>
                <c:formatCode>_(* #,##0.0_);_(* \(#,##0.0\);_(* "-"??_);_(@_)</c:formatCode>
                <c:ptCount val="5"/>
                <c:pt idx="0">
                  <c:v>425.5538831918571</c:v>
                </c:pt>
                <c:pt idx="1">
                  <c:v>379.23646115708237</c:v>
                </c:pt>
                <c:pt idx="2">
                  <c:v>423.25297098165566</c:v>
                </c:pt>
                <c:pt idx="3">
                  <c:v>396.21864056735677</c:v>
                </c:pt>
                <c:pt idx="4">
                  <c:v>365.09999999999997</c:v>
                </c:pt>
              </c:numCache>
            </c:numRef>
          </c:val>
          <c:extLst>
            <c:ext xmlns:c16="http://schemas.microsoft.com/office/drawing/2014/chart" uri="{C3380CC4-5D6E-409C-BE32-E72D297353CC}">
              <c16:uniqueId val="{00000000-A274-470F-AFDB-F23075043F46}"/>
            </c:ext>
          </c:extLst>
        </c:ser>
        <c:dLbls>
          <c:showLegendKey val="0"/>
          <c:showVal val="0"/>
          <c:showCatName val="0"/>
          <c:showSerName val="0"/>
          <c:showPercent val="0"/>
          <c:showBubbleSize val="0"/>
        </c:dLbls>
        <c:gapWidth val="219"/>
        <c:overlap val="-27"/>
        <c:axId val="1966292767"/>
        <c:axId val="322497839"/>
      </c:barChart>
      <c:catAx>
        <c:axId val="196629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497839"/>
        <c:crosses val="autoZero"/>
        <c:auto val="1"/>
        <c:lblAlgn val="ctr"/>
        <c:lblOffset val="100"/>
        <c:noMultiLvlLbl val="0"/>
      </c:catAx>
      <c:valAx>
        <c:axId val="322497839"/>
        <c:scaling>
          <c:orientation val="minMax"/>
          <c:max val="500"/>
          <c:min val="0"/>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Metric Tons</a:t>
                </a:r>
              </a:p>
            </c:rich>
          </c:tx>
          <c:layout>
            <c:manualLayout>
              <c:xMode val="edge"/>
              <c:yMode val="edge"/>
              <c:x val="1.6666666666666666E-2"/>
              <c:y val="0.3459066054243219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6292767"/>
        <c:crosses val="autoZero"/>
        <c:crossBetween val="between"/>
        <c:majorUnit val="1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Mercury</a:t>
            </a:r>
          </a:p>
        </c:rich>
      </c:tx>
      <c:layout>
        <c:manualLayout>
          <c:xMode val="edge"/>
          <c:yMode val="edge"/>
          <c:x val="0.48331233595800527"/>
          <c:y val="3.703703703703703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F580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3.13'!$D$4:$H$4</c:f>
              <c:numCache>
                <c:formatCode>General</c:formatCode>
                <c:ptCount val="5"/>
                <c:pt idx="0">
                  <c:v>2016</c:v>
                </c:pt>
                <c:pt idx="1">
                  <c:v>2017</c:v>
                </c:pt>
                <c:pt idx="2">
                  <c:v>2018</c:v>
                </c:pt>
                <c:pt idx="3">
                  <c:v>2019</c:v>
                </c:pt>
                <c:pt idx="4">
                  <c:v>2020</c:v>
                </c:pt>
              </c:numCache>
            </c:numRef>
          </c:cat>
          <c:val>
            <c:numRef>
              <c:f>'Figure 3.13'!$D$42:$H$42</c:f>
              <c:numCache>
                <c:formatCode>_(* #,##0.0000_);_(* \(#,##0.0000\);_(* "-"??_);_(@_)</c:formatCode>
                <c:ptCount val="5"/>
                <c:pt idx="0">
                  <c:v>7.3869687109728993E-3</c:v>
                </c:pt>
                <c:pt idx="1">
                  <c:v>6.8608905444813998E-3</c:v>
                </c:pt>
                <c:pt idx="2">
                  <c:v>7.5493195233637999E-3</c:v>
                </c:pt>
                <c:pt idx="3">
                  <c:v>6.8227014663443993E-3</c:v>
                </c:pt>
                <c:pt idx="4">
                  <c:v>6.6E-3</c:v>
                </c:pt>
              </c:numCache>
            </c:numRef>
          </c:val>
          <c:extLst>
            <c:ext xmlns:c16="http://schemas.microsoft.com/office/drawing/2014/chart" uri="{C3380CC4-5D6E-409C-BE32-E72D297353CC}">
              <c16:uniqueId val="{00000000-E70F-4839-9705-C00B30C0105E}"/>
            </c:ext>
          </c:extLst>
        </c:ser>
        <c:dLbls>
          <c:showLegendKey val="0"/>
          <c:showVal val="0"/>
          <c:showCatName val="0"/>
          <c:showSerName val="0"/>
          <c:showPercent val="0"/>
          <c:showBubbleSize val="0"/>
        </c:dLbls>
        <c:gapWidth val="219"/>
        <c:overlap val="-27"/>
        <c:axId val="1966292767"/>
        <c:axId val="322497839"/>
      </c:barChart>
      <c:catAx>
        <c:axId val="196629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497839"/>
        <c:crosses val="autoZero"/>
        <c:auto val="1"/>
        <c:lblAlgn val="ctr"/>
        <c:lblOffset val="100"/>
        <c:noMultiLvlLbl val="0"/>
      </c:catAx>
      <c:valAx>
        <c:axId val="322497839"/>
        <c:scaling>
          <c:orientation val="minMax"/>
          <c:max val="5.000000000000001E-2"/>
          <c:min val="0"/>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Metric Tons</a:t>
                </a:r>
              </a:p>
            </c:rich>
          </c:tx>
          <c:layout>
            <c:manualLayout>
              <c:xMode val="edge"/>
              <c:yMode val="edge"/>
              <c:x val="1.6666666666666666E-2"/>
              <c:y val="0.3459066054243219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6292767"/>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VOC</a:t>
            </a:r>
          </a:p>
        </c:rich>
      </c:tx>
      <c:layout>
        <c:manualLayout>
          <c:xMode val="edge"/>
          <c:yMode val="edge"/>
          <c:x val="0.48331233595800527"/>
          <c:y val="3.703703703703703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rgbClr val="96D1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3.13'!$D$4:$H$4</c:f>
              <c:numCache>
                <c:formatCode>General</c:formatCode>
                <c:ptCount val="5"/>
                <c:pt idx="0">
                  <c:v>2016</c:v>
                </c:pt>
                <c:pt idx="1">
                  <c:v>2017</c:v>
                </c:pt>
                <c:pt idx="2">
                  <c:v>2018</c:v>
                </c:pt>
                <c:pt idx="3">
                  <c:v>2019</c:v>
                </c:pt>
                <c:pt idx="4">
                  <c:v>2020</c:v>
                </c:pt>
              </c:numCache>
            </c:numRef>
          </c:cat>
          <c:val>
            <c:numRef>
              <c:f>'Figure 3.13'!$D$55:$H$55</c:f>
              <c:numCache>
                <c:formatCode>_(* #,##0.00_);_(* \(#,##0.00\);_(* "-"??_);_(@_)</c:formatCode>
                <c:ptCount val="5"/>
                <c:pt idx="0">
                  <c:v>20.749094358417672</c:v>
                </c:pt>
                <c:pt idx="1">
                  <c:v>33.143845541898536</c:v>
                </c:pt>
                <c:pt idx="2">
                  <c:v>43.131884001695525</c:v>
                </c:pt>
                <c:pt idx="3">
                  <c:v>47.728727559333969</c:v>
                </c:pt>
                <c:pt idx="4">
                  <c:v>39.54</c:v>
                </c:pt>
              </c:numCache>
            </c:numRef>
          </c:val>
          <c:extLst>
            <c:ext xmlns:c16="http://schemas.microsoft.com/office/drawing/2014/chart" uri="{C3380CC4-5D6E-409C-BE32-E72D297353CC}">
              <c16:uniqueId val="{00000000-45D5-44D1-8B1C-744B2A138033}"/>
            </c:ext>
          </c:extLst>
        </c:ser>
        <c:dLbls>
          <c:showLegendKey val="0"/>
          <c:showVal val="0"/>
          <c:showCatName val="0"/>
          <c:showSerName val="0"/>
          <c:showPercent val="0"/>
          <c:showBubbleSize val="0"/>
        </c:dLbls>
        <c:gapWidth val="219"/>
        <c:overlap val="-27"/>
        <c:axId val="1966292767"/>
        <c:axId val="322497839"/>
      </c:barChart>
      <c:catAx>
        <c:axId val="196629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497839"/>
        <c:crosses val="autoZero"/>
        <c:auto val="1"/>
        <c:lblAlgn val="ctr"/>
        <c:lblOffset val="100"/>
        <c:noMultiLvlLbl val="0"/>
      </c:catAx>
      <c:valAx>
        <c:axId val="322497839"/>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Metric Tons</a:t>
                </a:r>
              </a:p>
            </c:rich>
          </c:tx>
          <c:layout>
            <c:manualLayout>
              <c:xMode val="edge"/>
              <c:yMode val="edge"/>
              <c:x val="1.6666666666666666E-2"/>
              <c:y val="0.3459066054243219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6292767"/>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69761377866983"/>
          <c:y val="3.9501302646429058E-2"/>
          <c:w val="0.74213027293156986"/>
          <c:h val="0.54458028685449333"/>
        </c:manualLayout>
      </c:layout>
      <c:barChart>
        <c:barDir val="col"/>
        <c:grouping val="stacked"/>
        <c:varyColors val="0"/>
        <c:ser>
          <c:idx val="4"/>
          <c:order val="0"/>
          <c:tx>
            <c:strRef>
              <c:f>'Figure 3.14'!$A$7</c:f>
              <c:strCache>
                <c:ptCount val="1"/>
                <c:pt idx="0">
                  <c:v>Transportation</c:v>
                </c:pt>
              </c:strCache>
            </c:strRef>
          </c:tx>
          <c:spPr>
            <a:solidFill>
              <a:srgbClr val="002A5F"/>
            </a:solidFill>
            <a:ln w="25400">
              <a:noFill/>
            </a:ln>
            <a:effectLst/>
          </c:spPr>
          <c:invertIfNegative val="0"/>
          <c:cat>
            <c:numRef>
              <c:f>'[3]Regional Summary'!$C$34:$F$34</c:f>
              <c:numCache>
                <c:formatCode>General</c:formatCode>
                <c:ptCount val="4"/>
                <c:pt idx="0">
                  <c:v>2016</c:v>
                </c:pt>
                <c:pt idx="1">
                  <c:v>2017</c:v>
                </c:pt>
                <c:pt idx="2">
                  <c:v>2018</c:v>
                </c:pt>
                <c:pt idx="3">
                  <c:v>2019</c:v>
                </c:pt>
              </c:numCache>
            </c:numRef>
          </c:cat>
          <c:val>
            <c:numRef>
              <c:f>'Figure 3.14'!$B$7:$E$7</c:f>
              <c:numCache>
                <c:formatCode>_(* #,##0.00_);_(* \(#,##0.00\);_(* "-"??_);_(@_)</c:formatCode>
                <c:ptCount val="4"/>
                <c:pt idx="0">
                  <c:v>3.7593901666331084</c:v>
                </c:pt>
                <c:pt idx="1">
                  <c:v>3.7113301660667508</c:v>
                </c:pt>
                <c:pt idx="2">
                  <c:v>3.8868041206257957</c:v>
                </c:pt>
                <c:pt idx="3">
                  <c:v>3.9504567993246162</c:v>
                </c:pt>
              </c:numCache>
            </c:numRef>
          </c:val>
          <c:extLst>
            <c:ext xmlns:c16="http://schemas.microsoft.com/office/drawing/2014/chart" uri="{C3380CC4-5D6E-409C-BE32-E72D297353CC}">
              <c16:uniqueId val="{00000004-43B1-41F2-AE66-56ADD0B854FA}"/>
            </c:ext>
          </c:extLst>
        </c:ser>
        <c:ser>
          <c:idx val="3"/>
          <c:order val="1"/>
          <c:tx>
            <c:strRef>
              <c:f>'Figure 3.14'!$A$6</c:f>
              <c:strCache>
                <c:ptCount val="1"/>
                <c:pt idx="0">
                  <c:v>Res. &amp; Com. Fuels</c:v>
                </c:pt>
              </c:strCache>
            </c:strRef>
          </c:tx>
          <c:spPr>
            <a:solidFill>
              <a:srgbClr val="9BBB59"/>
            </a:solidFill>
            <a:ln w="25400">
              <a:noFill/>
            </a:ln>
            <a:effectLst/>
          </c:spPr>
          <c:invertIfNegative val="0"/>
          <c:cat>
            <c:numRef>
              <c:f>'[3]Regional Summary'!$C$34:$F$34</c:f>
              <c:numCache>
                <c:formatCode>General</c:formatCode>
                <c:ptCount val="4"/>
                <c:pt idx="0">
                  <c:v>2016</c:v>
                </c:pt>
                <c:pt idx="1">
                  <c:v>2017</c:v>
                </c:pt>
                <c:pt idx="2">
                  <c:v>2018</c:v>
                </c:pt>
                <c:pt idx="3">
                  <c:v>2019</c:v>
                </c:pt>
              </c:numCache>
            </c:numRef>
          </c:cat>
          <c:val>
            <c:numRef>
              <c:f>'Figure 3.14'!$B$6:$E$6</c:f>
              <c:numCache>
                <c:formatCode>_(* #,##0.00_);_(* \(#,##0.00\);_(* "-"??_);_(@_)</c:formatCode>
                <c:ptCount val="4"/>
                <c:pt idx="0">
                  <c:v>1.8909781319912971</c:v>
                </c:pt>
                <c:pt idx="1">
                  <c:v>2.026008887510327</c:v>
                </c:pt>
                <c:pt idx="2">
                  <c:v>2.0360575236675578</c:v>
                </c:pt>
                <c:pt idx="3">
                  <c:v>2.1742543069847433</c:v>
                </c:pt>
              </c:numCache>
            </c:numRef>
          </c:val>
          <c:extLst>
            <c:ext xmlns:c16="http://schemas.microsoft.com/office/drawing/2014/chart" uri="{C3380CC4-5D6E-409C-BE32-E72D297353CC}">
              <c16:uniqueId val="{00000003-43B1-41F2-AE66-56ADD0B854FA}"/>
            </c:ext>
          </c:extLst>
        </c:ser>
        <c:ser>
          <c:idx val="1"/>
          <c:order val="2"/>
          <c:tx>
            <c:strRef>
              <c:f>'Figure 3.14'!$A$3</c:f>
              <c:strCache>
                <c:ptCount val="1"/>
                <c:pt idx="0">
                  <c:v>Electric Power Serving WA</c:v>
                </c:pt>
              </c:strCache>
            </c:strRef>
          </c:tx>
          <c:spPr>
            <a:solidFill>
              <a:srgbClr val="F58021"/>
            </a:solidFill>
            <a:ln>
              <a:noFill/>
            </a:ln>
            <a:effectLst/>
          </c:spPr>
          <c:invertIfNegative val="0"/>
          <c:cat>
            <c:numRef>
              <c:f>'[3]Regional Summary'!$C$34:$F$34</c:f>
              <c:numCache>
                <c:formatCode>General</c:formatCode>
                <c:ptCount val="4"/>
                <c:pt idx="0">
                  <c:v>2016</c:v>
                </c:pt>
                <c:pt idx="1">
                  <c:v>2017</c:v>
                </c:pt>
                <c:pt idx="2">
                  <c:v>2018</c:v>
                </c:pt>
                <c:pt idx="3">
                  <c:v>2019</c:v>
                </c:pt>
              </c:numCache>
            </c:numRef>
          </c:cat>
          <c:val>
            <c:numRef>
              <c:f>'Figure 3.14'!$B$3:$E$3</c:f>
              <c:numCache>
                <c:formatCode>_(* #,##0.00_);_(* \(#,##0.00\);_(* "-"??_);_(@_)</c:formatCode>
                <c:ptCount val="4"/>
                <c:pt idx="0">
                  <c:v>1.7783895444228717</c:v>
                </c:pt>
                <c:pt idx="1">
                  <c:v>1.7631751523670969</c:v>
                </c:pt>
                <c:pt idx="2">
                  <c:v>1.731798132981643</c:v>
                </c:pt>
                <c:pt idx="3">
                  <c:v>1.8434520052011427</c:v>
                </c:pt>
              </c:numCache>
            </c:numRef>
          </c:val>
          <c:extLst>
            <c:ext xmlns:c16="http://schemas.microsoft.com/office/drawing/2014/chart" uri="{C3380CC4-5D6E-409C-BE32-E72D297353CC}">
              <c16:uniqueId val="{00000001-43B1-41F2-AE66-56ADD0B854FA}"/>
            </c:ext>
          </c:extLst>
        </c:ser>
        <c:ser>
          <c:idx val="6"/>
          <c:order val="3"/>
          <c:tx>
            <c:strRef>
              <c:f>'Figure 3.14'!$A$8</c:f>
              <c:strCache>
                <c:ptCount val="1"/>
                <c:pt idx="0">
                  <c:v>Agriculture</c:v>
                </c:pt>
              </c:strCache>
            </c:strRef>
          </c:tx>
          <c:spPr>
            <a:solidFill>
              <a:srgbClr val="00B5EF"/>
            </a:solidFill>
            <a:ln>
              <a:noFill/>
            </a:ln>
            <a:effectLst/>
          </c:spPr>
          <c:invertIfNegative val="0"/>
          <c:val>
            <c:numRef>
              <c:f>'Figure 3.14'!$B$8:$E$8</c:f>
              <c:numCache>
                <c:formatCode>_(* #,##0.00_);_(* \(#,##0.00\);_(* "-"??_);_(@_)</c:formatCode>
                <c:ptCount val="4"/>
                <c:pt idx="0">
                  <c:v>0.9576513017127618</c:v>
                </c:pt>
                <c:pt idx="1">
                  <c:v>0.94585081045327191</c:v>
                </c:pt>
                <c:pt idx="2">
                  <c:v>0.94839570619816649</c:v>
                </c:pt>
                <c:pt idx="3">
                  <c:v>0.95063260612139999</c:v>
                </c:pt>
              </c:numCache>
            </c:numRef>
          </c:val>
          <c:extLst>
            <c:ext xmlns:c16="http://schemas.microsoft.com/office/drawing/2014/chart" uri="{C3380CC4-5D6E-409C-BE32-E72D297353CC}">
              <c16:uniqueId val="{00000005-43B1-41F2-AE66-56ADD0B854FA}"/>
            </c:ext>
          </c:extLst>
        </c:ser>
        <c:ser>
          <c:idx val="0"/>
          <c:order val="4"/>
          <c:tx>
            <c:strRef>
              <c:f>'Figure 3.14'!$A$2</c:f>
              <c:strCache>
                <c:ptCount val="1"/>
                <c:pt idx="0">
                  <c:v>Large Sources</c:v>
                </c:pt>
              </c:strCache>
            </c:strRef>
          </c:tx>
          <c:spPr>
            <a:solidFill>
              <a:srgbClr val="FFE900"/>
            </a:solidFill>
            <a:ln>
              <a:noFill/>
            </a:ln>
            <a:effectLst/>
          </c:spPr>
          <c:invertIfNegative val="0"/>
          <c:cat>
            <c:numRef>
              <c:f>'[3]Regional Summary'!$C$34:$F$34</c:f>
              <c:numCache>
                <c:formatCode>General</c:formatCode>
                <c:ptCount val="4"/>
                <c:pt idx="0">
                  <c:v>2016</c:v>
                </c:pt>
                <c:pt idx="1">
                  <c:v>2017</c:v>
                </c:pt>
                <c:pt idx="2">
                  <c:v>2018</c:v>
                </c:pt>
                <c:pt idx="3">
                  <c:v>2019</c:v>
                </c:pt>
              </c:numCache>
            </c:numRef>
          </c:cat>
          <c:val>
            <c:numRef>
              <c:f>'Figure 3.14'!$B$2:$E$2</c:f>
              <c:numCache>
                <c:formatCode>_(* #,##0.00_);_(* \(#,##0.00\);_(* "-"??_);_(@_)</c:formatCode>
                <c:ptCount val="4"/>
                <c:pt idx="0">
                  <c:v>0.73278799999999999</c:v>
                </c:pt>
                <c:pt idx="1">
                  <c:v>0.73809100000000005</c:v>
                </c:pt>
                <c:pt idx="2">
                  <c:v>0.73316700000000001</c:v>
                </c:pt>
                <c:pt idx="3">
                  <c:v>0.74990100000000004</c:v>
                </c:pt>
              </c:numCache>
            </c:numRef>
          </c:val>
          <c:extLst>
            <c:ext xmlns:c16="http://schemas.microsoft.com/office/drawing/2014/chart" uri="{C3380CC4-5D6E-409C-BE32-E72D297353CC}">
              <c16:uniqueId val="{00000000-43B1-41F2-AE66-56ADD0B854FA}"/>
            </c:ext>
          </c:extLst>
        </c:ser>
        <c:ser>
          <c:idx val="5"/>
          <c:order val="5"/>
          <c:tx>
            <c:strRef>
              <c:f>'Figure 3.14'!$A$5</c:f>
              <c:strCache>
                <c:ptCount val="1"/>
                <c:pt idx="0">
                  <c:v>Waste Management</c:v>
                </c:pt>
              </c:strCache>
            </c:strRef>
          </c:tx>
          <c:spPr>
            <a:solidFill>
              <a:srgbClr val="0076BE"/>
            </a:solidFill>
            <a:ln>
              <a:noFill/>
            </a:ln>
            <a:effectLst/>
          </c:spPr>
          <c:invertIfNegative val="0"/>
          <c:val>
            <c:numRef>
              <c:f>'Figure 3.14'!$B$5:$E$5</c:f>
              <c:numCache>
                <c:formatCode>_(* #,##0.00_);_(* \(#,##0.00\);_(* "-"??_);_(@_)</c:formatCode>
                <c:ptCount val="4"/>
                <c:pt idx="0">
                  <c:v>0.32533122859520508</c:v>
                </c:pt>
                <c:pt idx="1">
                  <c:v>0.32175276604431924</c:v>
                </c:pt>
                <c:pt idx="2">
                  <c:v>0.32138539459807214</c:v>
                </c:pt>
                <c:pt idx="3">
                  <c:v>0.32421999219393094</c:v>
                </c:pt>
              </c:numCache>
            </c:numRef>
          </c:val>
          <c:extLst>
            <c:ext xmlns:c16="http://schemas.microsoft.com/office/drawing/2014/chart" uri="{C3380CC4-5D6E-409C-BE32-E72D297353CC}">
              <c16:uniqueId val="{0000000A-43B1-41F2-AE66-56ADD0B854FA}"/>
            </c:ext>
          </c:extLst>
        </c:ser>
        <c:ser>
          <c:idx val="2"/>
          <c:order val="6"/>
          <c:tx>
            <c:strRef>
              <c:f>'Figure 3.14'!$A$4</c:f>
              <c:strCache>
                <c:ptCount val="1"/>
                <c:pt idx="0">
                  <c:v>Electric Power Serving ID</c:v>
                </c:pt>
              </c:strCache>
            </c:strRef>
          </c:tx>
          <c:spPr>
            <a:solidFill>
              <a:srgbClr val="2CB34A"/>
            </a:solidFill>
            <a:ln>
              <a:noFill/>
            </a:ln>
            <a:effectLst/>
          </c:spPr>
          <c:invertIfNegative val="0"/>
          <c:cat>
            <c:numRef>
              <c:f>'[3]Regional Summary'!$C$34:$F$34</c:f>
              <c:numCache>
                <c:formatCode>General</c:formatCode>
                <c:ptCount val="4"/>
                <c:pt idx="0">
                  <c:v>2016</c:v>
                </c:pt>
                <c:pt idx="1">
                  <c:v>2017</c:v>
                </c:pt>
                <c:pt idx="2">
                  <c:v>2018</c:v>
                </c:pt>
                <c:pt idx="3">
                  <c:v>2019</c:v>
                </c:pt>
              </c:numCache>
            </c:numRef>
          </c:cat>
          <c:val>
            <c:numRef>
              <c:f>'Figure 3.14'!$B$4:$E$4</c:f>
              <c:numCache>
                <c:formatCode>_(* #,##0.00_);_(* \(#,##0.00\);_(* "-"??_);_(@_)</c:formatCode>
                <c:ptCount val="4"/>
                <c:pt idx="0">
                  <c:v>5.0297675062563477E-3</c:v>
                </c:pt>
                <c:pt idx="1">
                  <c:v>5.1544268590746675E-3</c:v>
                </c:pt>
                <c:pt idx="2">
                  <c:v>6.0262103000473053E-3</c:v>
                </c:pt>
                <c:pt idx="3">
                  <c:v>9.0262287819959097E-3</c:v>
                </c:pt>
              </c:numCache>
            </c:numRef>
          </c:val>
          <c:extLst>
            <c:ext xmlns:c16="http://schemas.microsoft.com/office/drawing/2014/chart" uri="{C3380CC4-5D6E-409C-BE32-E72D297353CC}">
              <c16:uniqueId val="{00000002-43B1-41F2-AE66-56ADD0B854FA}"/>
            </c:ext>
          </c:extLst>
        </c:ser>
        <c:dLbls>
          <c:showLegendKey val="0"/>
          <c:showVal val="0"/>
          <c:showCatName val="0"/>
          <c:showSerName val="0"/>
          <c:showPercent val="0"/>
          <c:showBubbleSize val="0"/>
        </c:dLbls>
        <c:gapWidth val="150"/>
        <c:overlap val="100"/>
        <c:axId val="344100384"/>
        <c:axId val="67878720"/>
      </c:barChart>
      <c:lineChart>
        <c:grouping val="standard"/>
        <c:varyColors val="0"/>
        <c:ser>
          <c:idx val="7"/>
          <c:order val="7"/>
          <c:tx>
            <c:strRef>
              <c:f>'Figure 3.14'!$A$9</c:f>
              <c:strCache>
                <c:ptCount val="1"/>
                <c:pt idx="0">
                  <c:v>Total</c:v>
                </c:pt>
              </c:strCache>
            </c:strRef>
          </c:tx>
          <c:spPr>
            <a:ln w="28575" cap="rnd">
              <a:noFill/>
              <a:round/>
            </a:ln>
            <a:effectLst/>
          </c:spPr>
          <c:marker>
            <c:symbol val="none"/>
          </c:marker>
          <c:val>
            <c:numRef>
              <c:f>'Figure 3.14'!$B$9:$E$9</c:f>
              <c:numCache>
                <c:formatCode>_(* #,##0.00_);_(* \(#,##0.00\);_(* "-"??_);_(@_)</c:formatCode>
                <c:ptCount val="4"/>
                <c:pt idx="0">
                  <c:v>9.4495581408614999</c:v>
                </c:pt>
                <c:pt idx="1">
                  <c:v>9.5113632093008427</c:v>
                </c:pt>
                <c:pt idx="2">
                  <c:v>9.6636340883712819</c:v>
                </c:pt>
                <c:pt idx="3">
                  <c:v>10.001942938607829</c:v>
                </c:pt>
              </c:numCache>
            </c:numRef>
          </c:val>
          <c:smooth val="0"/>
          <c:extLst>
            <c:ext xmlns:c16="http://schemas.microsoft.com/office/drawing/2014/chart" uri="{C3380CC4-5D6E-409C-BE32-E72D297353CC}">
              <c16:uniqueId val="{00000006-43B1-41F2-AE66-56ADD0B854FA}"/>
            </c:ext>
          </c:extLst>
        </c:ser>
        <c:dLbls>
          <c:showLegendKey val="0"/>
          <c:showVal val="0"/>
          <c:showCatName val="0"/>
          <c:showSerName val="0"/>
          <c:showPercent val="0"/>
          <c:showBubbleSize val="0"/>
        </c:dLbls>
        <c:marker val="1"/>
        <c:smooth val="0"/>
        <c:axId val="344100384"/>
        <c:axId val="67878720"/>
      </c:lineChart>
      <c:catAx>
        <c:axId val="34410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878720"/>
        <c:crosses val="autoZero"/>
        <c:auto val="1"/>
        <c:lblAlgn val="ctr"/>
        <c:lblOffset val="100"/>
        <c:noMultiLvlLbl val="0"/>
      </c:catAx>
      <c:valAx>
        <c:axId val="678787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Million Metric Tons</a:t>
                </a:r>
              </a:p>
            </c:rich>
          </c:tx>
          <c:layout>
            <c:manualLayout>
              <c:xMode val="edge"/>
              <c:yMode val="edge"/>
              <c:x val="0.14291938997821352"/>
              <c:y val="0.215312732134898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0_);_(* \(#,##0.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4100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7033529387683"/>
          <c:y val="4.8484840071175886E-2"/>
          <c:w val="0.85241083166164022"/>
          <c:h val="0.84926385991386566"/>
        </c:manualLayout>
      </c:layout>
      <c:barChart>
        <c:barDir val="col"/>
        <c:grouping val="clustered"/>
        <c:varyColors val="0"/>
        <c:ser>
          <c:idx val="1"/>
          <c:order val="0"/>
          <c:tx>
            <c:strRef>
              <c:f>'Figure 3.15'!$B$11</c:f>
              <c:strCache>
                <c:ptCount val="1"/>
                <c:pt idx="0">
                  <c:v>Direct Emissions</c:v>
                </c:pt>
              </c:strCache>
            </c:strRef>
          </c:tx>
          <c:spPr>
            <a:solidFill>
              <a:srgbClr val="00B5E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3.15'!$A$12:$A$16</c:f>
              <c:numCache>
                <c:formatCode>General</c:formatCode>
                <c:ptCount val="5"/>
                <c:pt idx="0">
                  <c:v>2016</c:v>
                </c:pt>
                <c:pt idx="1">
                  <c:v>2017</c:v>
                </c:pt>
                <c:pt idx="2">
                  <c:v>2018</c:v>
                </c:pt>
                <c:pt idx="3">
                  <c:v>2019</c:v>
                </c:pt>
                <c:pt idx="4">
                  <c:v>2020</c:v>
                </c:pt>
              </c:numCache>
            </c:numRef>
          </c:cat>
          <c:val>
            <c:numRef>
              <c:f>'Figure 3.15'!$B$12:$B$16</c:f>
              <c:numCache>
                <c:formatCode>0.00</c:formatCode>
                <c:ptCount val="5"/>
                <c:pt idx="0">
                  <c:v>1.743807065830183</c:v>
                </c:pt>
                <c:pt idx="1">
                  <c:v>1.7118984338524581</c:v>
                </c:pt>
                <c:pt idx="2">
                  <c:v>1.750764853600826</c:v>
                </c:pt>
                <c:pt idx="3">
                  <c:v>1.997117639958758</c:v>
                </c:pt>
                <c:pt idx="4">
                  <c:v>1.7189865623502714</c:v>
                </c:pt>
              </c:numCache>
            </c:numRef>
          </c:val>
          <c:extLst>
            <c:ext xmlns:c16="http://schemas.microsoft.com/office/drawing/2014/chart" uri="{C3380CC4-5D6E-409C-BE32-E72D297353CC}">
              <c16:uniqueId val="{00000000-E600-4484-9181-596A4745A98F}"/>
            </c:ext>
          </c:extLst>
        </c:ser>
        <c:ser>
          <c:idx val="0"/>
          <c:order val="1"/>
          <c:tx>
            <c:strRef>
              <c:f>'Figure 3.15'!$C$11</c:f>
              <c:strCache>
                <c:ptCount val="1"/>
                <c:pt idx="0">
                  <c:v>Net Emissions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3.15'!$A$12:$A$16</c:f>
              <c:numCache>
                <c:formatCode>General</c:formatCode>
                <c:ptCount val="5"/>
                <c:pt idx="0">
                  <c:v>2016</c:v>
                </c:pt>
                <c:pt idx="1">
                  <c:v>2017</c:v>
                </c:pt>
                <c:pt idx="2">
                  <c:v>2018</c:v>
                </c:pt>
                <c:pt idx="3">
                  <c:v>2019</c:v>
                </c:pt>
                <c:pt idx="4">
                  <c:v>2020</c:v>
                </c:pt>
              </c:numCache>
            </c:numRef>
          </c:cat>
          <c:val>
            <c:numRef>
              <c:f>'Figure 3.15'!$C$12:$C$16</c:f>
              <c:numCache>
                <c:formatCode>0.00</c:formatCode>
                <c:ptCount val="5"/>
                <c:pt idx="0">
                  <c:v>1.7783895444228717</c:v>
                </c:pt>
                <c:pt idx="1">
                  <c:v>1.7631751523670969</c:v>
                </c:pt>
                <c:pt idx="2">
                  <c:v>1.731798132981643</c:v>
                </c:pt>
                <c:pt idx="3">
                  <c:v>1.8434520052011427</c:v>
                </c:pt>
                <c:pt idx="4">
                  <c:v>1.5563878537439</c:v>
                </c:pt>
              </c:numCache>
            </c:numRef>
          </c:val>
          <c:extLst>
            <c:ext xmlns:c16="http://schemas.microsoft.com/office/drawing/2014/chart" uri="{C3380CC4-5D6E-409C-BE32-E72D297353CC}">
              <c16:uniqueId val="{00000001-E600-4484-9181-596A4745A98F}"/>
            </c:ext>
          </c:extLst>
        </c:ser>
        <c:dLbls>
          <c:showLegendKey val="0"/>
          <c:showVal val="0"/>
          <c:showCatName val="0"/>
          <c:showSerName val="0"/>
          <c:showPercent val="0"/>
          <c:showBubbleSize val="0"/>
        </c:dLbls>
        <c:gapWidth val="219"/>
        <c:overlap val="-27"/>
        <c:axId val="1477444400"/>
        <c:axId val="1379097552"/>
      </c:barChart>
      <c:catAx>
        <c:axId val="14774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79097552"/>
        <c:crosses val="autoZero"/>
        <c:auto val="1"/>
        <c:lblAlgn val="ctr"/>
        <c:lblOffset val="100"/>
        <c:noMultiLvlLbl val="0"/>
      </c:catAx>
      <c:valAx>
        <c:axId val="1379097552"/>
        <c:scaling>
          <c:orientation val="minMax"/>
          <c:min val="0"/>
        </c:scaling>
        <c:delete val="0"/>
        <c:axPos val="l"/>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b="1"/>
                  <a:t>Metric Tons (Millions)</a:t>
                </a:r>
              </a:p>
            </c:rich>
          </c:tx>
          <c:layout>
            <c:manualLayout>
              <c:xMode val="edge"/>
              <c:yMode val="edge"/>
              <c:x val="1.5701815435982112E-2"/>
              <c:y val="0.19774491698749841"/>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0_);_(* \(#,##0.0\);_(*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7444400"/>
        <c:crosses val="autoZero"/>
        <c:crossBetween val="between"/>
      </c:valAx>
      <c:spPr>
        <a:noFill/>
        <a:ln>
          <a:solidFill>
            <a:schemeClr val="tx1"/>
          </a:solidFill>
        </a:ln>
        <a:effectLst/>
      </c:spPr>
    </c:plotArea>
    <c:legend>
      <c:legendPos val="t"/>
      <c:layout>
        <c:manualLayout>
          <c:xMode val="edge"/>
          <c:yMode val="edge"/>
          <c:x val="0.13525639451047822"/>
          <c:y val="6.1707978272405671E-2"/>
          <c:w val="0.42873962007943839"/>
          <c:h val="7.490768024663699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802011636657303E-2"/>
          <c:y val="3.5045794090782408E-2"/>
          <c:w val="0.91468516785052223"/>
          <c:h val="0.83688467510774811"/>
        </c:manualLayout>
      </c:layout>
      <c:barChart>
        <c:barDir val="col"/>
        <c:grouping val="clustered"/>
        <c:varyColors val="0"/>
        <c:ser>
          <c:idx val="0"/>
          <c:order val="0"/>
          <c:tx>
            <c:strRef>
              <c:f>'Figure 3.16'!$A$2</c:f>
              <c:strCache>
                <c:ptCount val="1"/>
                <c:pt idx="0">
                  <c:v>Supplier Diversity %</c:v>
                </c:pt>
              </c:strCache>
            </c:strRef>
          </c:tx>
          <c:spPr>
            <a:solidFill>
              <a:srgbClr val="0076B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3.16'!$B$1:$C$1</c:f>
              <c:strCache>
                <c:ptCount val="2"/>
                <c:pt idx="0">
                  <c:v>2020</c:v>
                </c:pt>
                <c:pt idx="1">
                  <c:v>2021 (YTD Thru June)</c:v>
                </c:pt>
              </c:strCache>
            </c:strRef>
          </c:cat>
          <c:val>
            <c:numRef>
              <c:f>'Figure 3.16'!$B$2:$C$2</c:f>
              <c:numCache>
                <c:formatCode>0.0%</c:formatCode>
                <c:ptCount val="2"/>
                <c:pt idx="0">
                  <c:v>1.6E-2</c:v>
                </c:pt>
                <c:pt idx="1">
                  <c:v>5.9400000000000001E-2</c:v>
                </c:pt>
              </c:numCache>
            </c:numRef>
          </c:val>
          <c:extLst>
            <c:ext xmlns:c16="http://schemas.microsoft.com/office/drawing/2014/chart" uri="{C3380CC4-5D6E-409C-BE32-E72D297353CC}">
              <c16:uniqueId val="{00000000-A349-4B98-9D8A-357A93CA74F7}"/>
            </c:ext>
          </c:extLst>
        </c:ser>
        <c:ser>
          <c:idx val="1"/>
          <c:order val="1"/>
          <c:tx>
            <c:strRef>
              <c:f>'Figure 3.16'!$A$3</c:f>
              <c:strCache>
                <c:ptCount val="1"/>
                <c:pt idx="0">
                  <c:v>Small Business %</c:v>
                </c:pt>
              </c:strCache>
            </c:strRef>
          </c:tx>
          <c:spPr>
            <a:solidFill>
              <a:srgbClr val="2CB34A"/>
            </a:solidFill>
            <a:ln>
              <a:noFill/>
            </a:ln>
            <a:effectLst/>
          </c:spPr>
          <c:invertIfNegative val="0"/>
          <c:dLbls>
            <c:dLbl>
              <c:idx val="1"/>
              <c:layout>
                <c:manualLayout>
                  <c:x val="0"/>
                  <c:y val="2.2503512851514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9-4B98-9D8A-357A93CA74F7}"/>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3.16'!$B$1:$C$1</c:f>
              <c:strCache>
                <c:ptCount val="2"/>
                <c:pt idx="0">
                  <c:v>2020</c:v>
                </c:pt>
                <c:pt idx="1">
                  <c:v>2021 (YTD Thru June)</c:v>
                </c:pt>
              </c:strCache>
            </c:strRef>
          </c:cat>
          <c:val>
            <c:numRef>
              <c:f>'Figure 3.16'!$B$3:$C$3</c:f>
              <c:numCache>
                <c:formatCode>0.0%</c:formatCode>
                <c:ptCount val="2"/>
                <c:pt idx="0">
                  <c:v>5.6000000000000001E-2</c:v>
                </c:pt>
                <c:pt idx="1">
                  <c:v>6.6600000000000006E-2</c:v>
                </c:pt>
              </c:numCache>
            </c:numRef>
          </c:val>
          <c:extLst>
            <c:ext xmlns:c16="http://schemas.microsoft.com/office/drawing/2014/chart" uri="{C3380CC4-5D6E-409C-BE32-E72D297353CC}">
              <c16:uniqueId val="{00000002-A349-4B98-9D8A-357A93CA74F7}"/>
            </c:ext>
          </c:extLst>
        </c:ser>
        <c:dLbls>
          <c:showLegendKey val="0"/>
          <c:showVal val="0"/>
          <c:showCatName val="0"/>
          <c:showSerName val="0"/>
          <c:showPercent val="0"/>
          <c:showBubbleSize val="0"/>
        </c:dLbls>
        <c:gapWidth val="219"/>
        <c:overlap val="-27"/>
        <c:axId val="419068799"/>
        <c:axId val="275163359"/>
      </c:barChart>
      <c:catAx>
        <c:axId val="4190687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*Spend in each category may also be included in the other categories.</a:t>
                </a:r>
              </a:p>
            </c:rich>
          </c:tx>
          <c:layout>
            <c:manualLayout>
              <c:xMode val="edge"/>
              <c:yMode val="edge"/>
              <c:x val="0.21955707284841144"/>
              <c:y val="0.938608526882247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75163359"/>
        <c:crosses val="autoZero"/>
        <c:auto val="1"/>
        <c:lblAlgn val="ctr"/>
        <c:lblOffset val="100"/>
        <c:noMultiLvlLbl val="0"/>
      </c:catAx>
      <c:valAx>
        <c:axId val="27516335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068799"/>
        <c:crosses val="autoZero"/>
        <c:crossBetween val="between"/>
      </c:valAx>
      <c:spPr>
        <a:noFill/>
        <a:ln>
          <a:solidFill>
            <a:schemeClr val="tx1"/>
          </a:solidFill>
        </a:ln>
        <a:effectLst/>
      </c:spPr>
    </c:plotArea>
    <c:legend>
      <c:legendPos val="b"/>
      <c:layout>
        <c:manualLayout>
          <c:xMode val="edge"/>
          <c:yMode val="edge"/>
          <c:x val="7.8072793348383906E-2"/>
          <c:y val="5.1699310541980271E-2"/>
          <c:w val="0.22130000183543491"/>
          <c:h val="0.14896941589504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oddFooter>&amp;CParts of the spend in each category may also be included in the other categories represented</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68454950756427E-2"/>
          <c:y val="4.2910083869709383E-2"/>
          <c:w val="0.89530360992457647"/>
          <c:h val="0.87573583729184235"/>
        </c:manualLayout>
      </c:layout>
      <c:barChart>
        <c:barDir val="col"/>
        <c:grouping val="clustered"/>
        <c:varyColors val="0"/>
        <c:ser>
          <c:idx val="0"/>
          <c:order val="0"/>
          <c:tx>
            <c:strRef>
              <c:f>'Figure 3.5 '!$D$23</c:f>
              <c:strCache>
                <c:ptCount val="1"/>
                <c:pt idx="0">
                  <c:v>All Customers</c:v>
                </c:pt>
              </c:strCache>
            </c:strRef>
          </c:tx>
          <c:spPr>
            <a:solidFill>
              <a:srgbClr val="0076BE"/>
            </a:solidFill>
            <a:ln>
              <a:noFill/>
            </a:ln>
            <a:effectLst/>
          </c:spPr>
          <c:invertIfNegative val="0"/>
          <c:cat>
            <c:numRef>
              <c:f>'Figure 3.5 '!$E$20:$I$20</c:f>
              <c:numCache>
                <c:formatCode>General</c:formatCode>
                <c:ptCount val="5"/>
                <c:pt idx="0">
                  <c:v>2016</c:v>
                </c:pt>
                <c:pt idx="1">
                  <c:v>2017</c:v>
                </c:pt>
                <c:pt idx="2">
                  <c:v>2018</c:v>
                </c:pt>
                <c:pt idx="3">
                  <c:v>2019</c:v>
                </c:pt>
                <c:pt idx="4">
                  <c:v>2020</c:v>
                </c:pt>
              </c:numCache>
            </c:numRef>
          </c:cat>
          <c:val>
            <c:numRef>
              <c:f>'Figure 3.5 '!$E$23:$I$23</c:f>
              <c:numCache>
                <c:formatCode>0%</c:formatCode>
                <c:ptCount val="5"/>
                <c:pt idx="0">
                  <c:v>8.5410718316496451E-2</c:v>
                </c:pt>
                <c:pt idx="1">
                  <c:v>9.6512147566334056E-2</c:v>
                </c:pt>
                <c:pt idx="2">
                  <c:v>8.9620284786410195E-2</c:v>
                </c:pt>
                <c:pt idx="3">
                  <c:v>9.8221726420127609E-2</c:v>
                </c:pt>
                <c:pt idx="4">
                  <c:v>9.311257110101856E-2</c:v>
                </c:pt>
              </c:numCache>
            </c:numRef>
          </c:val>
          <c:extLst>
            <c:ext xmlns:c16="http://schemas.microsoft.com/office/drawing/2014/chart" uri="{C3380CC4-5D6E-409C-BE32-E72D297353CC}">
              <c16:uniqueId val="{00000000-A54D-4A11-9C03-3F7AFC25CD57}"/>
            </c:ext>
          </c:extLst>
        </c:ser>
        <c:ser>
          <c:idx val="1"/>
          <c:order val="1"/>
          <c:tx>
            <c:strRef>
              <c:f>'Figure 3.5 '!$D$24</c:f>
              <c:strCache>
                <c:ptCount val="1"/>
                <c:pt idx="0">
                  <c:v>Named Communities</c:v>
                </c:pt>
              </c:strCache>
            </c:strRef>
          </c:tx>
          <c:spPr>
            <a:solidFill>
              <a:srgbClr val="2CB34A"/>
            </a:solidFill>
            <a:ln>
              <a:noFill/>
            </a:ln>
            <a:effectLst/>
          </c:spPr>
          <c:invertIfNegative val="0"/>
          <c:cat>
            <c:numRef>
              <c:f>'Figure 3.5 '!$E$20:$I$20</c:f>
              <c:numCache>
                <c:formatCode>General</c:formatCode>
                <c:ptCount val="5"/>
                <c:pt idx="0">
                  <c:v>2016</c:v>
                </c:pt>
                <c:pt idx="1">
                  <c:v>2017</c:v>
                </c:pt>
                <c:pt idx="2">
                  <c:v>2018</c:v>
                </c:pt>
                <c:pt idx="3">
                  <c:v>2019</c:v>
                </c:pt>
                <c:pt idx="4">
                  <c:v>2020</c:v>
                </c:pt>
              </c:numCache>
            </c:numRef>
          </c:cat>
          <c:val>
            <c:numRef>
              <c:f>'Figure 3.5 '!$E$24:$I$24</c:f>
              <c:numCache>
                <c:formatCode>0%</c:formatCode>
                <c:ptCount val="5"/>
                <c:pt idx="0">
                  <c:v>0.12739396561597291</c:v>
                </c:pt>
                <c:pt idx="1">
                  <c:v>0.14962004518381597</c:v>
                </c:pt>
                <c:pt idx="2">
                  <c:v>0.13548731914027207</c:v>
                </c:pt>
                <c:pt idx="3">
                  <c:v>0.12998994693508775</c:v>
                </c:pt>
                <c:pt idx="4">
                  <c:v>0.14968886400366491</c:v>
                </c:pt>
              </c:numCache>
            </c:numRef>
          </c:val>
          <c:extLst>
            <c:ext xmlns:c16="http://schemas.microsoft.com/office/drawing/2014/chart" uri="{C3380CC4-5D6E-409C-BE32-E72D297353CC}">
              <c16:uniqueId val="{00000001-A54D-4A11-9C03-3F7AFC25CD57}"/>
            </c:ext>
          </c:extLst>
        </c:ser>
        <c:dLbls>
          <c:showLegendKey val="0"/>
          <c:showVal val="0"/>
          <c:showCatName val="0"/>
          <c:showSerName val="0"/>
          <c:showPercent val="0"/>
          <c:showBubbleSize val="0"/>
        </c:dLbls>
        <c:gapWidth val="219"/>
        <c:overlap val="-27"/>
        <c:axId val="418475903"/>
        <c:axId val="2094421439"/>
      </c:barChart>
      <c:catAx>
        <c:axId val="418475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421439"/>
        <c:crosses val="autoZero"/>
        <c:auto val="1"/>
        <c:lblAlgn val="ctr"/>
        <c:lblOffset val="100"/>
        <c:noMultiLvlLbl val="0"/>
      </c:catAx>
      <c:valAx>
        <c:axId val="2094421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475903"/>
        <c:crosses val="autoZero"/>
        <c:crossBetween val="between"/>
      </c:valAx>
      <c:spPr>
        <a:noFill/>
        <a:ln>
          <a:solidFill>
            <a:schemeClr val="tx1"/>
          </a:solidFill>
        </a:ln>
        <a:effectLst/>
      </c:spPr>
    </c:plotArea>
    <c:legend>
      <c:legendPos val="b"/>
      <c:layout>
        <c:manualLayout>
          <c:xMode val="edge"/>
          <c:yMode val="edge"/>
          <c:x val="0.40044452588615725"/>
          <c:y val="6.0248798014172281E-2"/>
          <c:w val="0.46726854523524958"/>
          <c:h val="6.58284303110443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0882608478099"/>
          <c:y val="4.664505172147599E-2"/>
          <c:w val="0.82597943021420417"/>
          <c:h val="0.7711606637405618"/>
        </c:manualLayout>
      </c:layout>
      <c:barChart>
        <c:barDir val="col"/>
        <c:grouping val="clustered"/>
        <c:varyColors val="0"/>
        <c:ser>
          <c:idx val="0"/>
          <c:order val="0"/>
          <c:tx>
            <c:strRef>
              <c:f>'Figure 3.5 '!$A$38</c:f>
              <c:strCache>
                <c:ptCount val="1"/>
                <c:pt idx="0">
                  <c:v>All Customers Other Programs %</c:v>
                </c:pt>
              </c:strCache>
            </c:strRef>
          </c:tx>
          <c:spPr>
            <a:solidFill>
              <a:schemeClr val="accent1"/>
            </a:solidFill>
            <a:ln>
              <a:noFill/>
            </a:ln>
            <a:effectLst/>
          </c:spPr>
          <c:invertIfNegative val="0"/>
          <c:cat>
            <c:numRef>
              <c:f>'Figure 3.5 '!$B$31:$F$31</c:f>
              <c:numCache>
                <c:formatCode>General</c:formatCode>
                <c:ptCount val="5"/>
                <c:pt idx="0">
                  <c:v>2016</c:v>
                </c:pt>
                <c:pt idx="1">
                  <c:v>2017</c:v>
                </c:pt>
                <c:pt idx="2">
                  <c:v>2018</c:v>
                </c:pt>
                <c:pt idx="3">
                  <c:v>2019</c:v>
                </c:pt>
                <c:pt idx="4">
                  <c:v>2020</c:v>
                </c:pt>
              </c:numCache>
            </c:numRef>
          </c:cat>
          <c:val>
            <c:numRef>
              <c:f>'Figure 3.5 '!$B$38:$F$38</c:f>
              <c:numCache>
                <c:formatCode>0%</c:formatCode>
                <c:ptCount val="5"/>
                <c:pt idx="0">
                  <c:v>7.5637273731689637E-3</c:v>
                </c:pt>
                <c:pt idx="1">
                  <c:v>1.226819168752892E-2</c:v>
                </c:pt>
                <c:pt idx="2">
                  <c:v>9.8012428178865848E-3</c:v>
                </c:pt>
                <c:pt idx="3">
                  <c:v>9.8195270577134224E-3</c:v>
                </c:pt>
                <c:pt idx="4">
                  <c:v>3.3070241192292428E-3</c:v>
                </c:pt>
              </c:numCache>
            </c:numRef>
          </c:val>
          <c:extLst>
            <c:ext xmlns:c16="http://schemas.microsoft.com/office/drawing/2014/chart" uri="{C3380CC4-5D6E-409C-BE32-E72D297353CC}">
              <c16:uniqueId val="{00000000-475B-493E-85A9-DD4E44B97148}"/>
            </c:ext>
          </c:extLst>
        </c:ser>
        <c:ser>
          <c:idx val="1"/>
          <c:order val="1"/>
          <c:tx>
            <c:strRef>
              <c:f>'Figure 3.5 '!$A$40</c:f>
              <c:strCache>
                <c:ptCount val="1"/>
                <c:pt idx="0">
                  <c:v>Named Communiites Other Programs</c:v>
                </c:pt>
              </c:strCache>
            </c:strRef>
          </c:tx>
          <c:spPr>
            <a:solidFill>
              <a:schemeClr val="accent2"/>
            </a:solidFill>
            <a:ln>
              <a:noFill/>
            </a:ln>
            <a:effectLst/>
          </c:spPr>
          <c:invertIfNegative val="0"/>
          <c:cat>
            <c:numRef>
              <c:f>'Figure 3.5 '!$B$31:$F$31</c:f>
              <c:numCache>
                <c:formatCode>General</c:formatCode>
                <c:ptCount val="5"/>
                <c:pt idx="0">
                  <c:v>2016</c:v>
                </c:pt>
                <c:pt idx="1">
                  <c:v>2017</c:v>
                </c:pt>
                <c:pt idx="2">
                  <c:v>2018</c:v>
                </c:pt>
                <c:pt idx="3">
                  <c:v>2019</c:v>
                </c:pt>
                <c:pt idx="4">
                  <c:v>2020</c:v>
                </c:pt>
              </c:numCache>
            </c:numRef>
          </c:cat>
          <c:val>
            <c:numRef>
              <c:f>'Figure 3.5 '!$B$40:$F$40</c:f>
              <c:numCache>
                <c:formatCode>0%</c:formatCode>
                <c:ptCount val="5"/>
                <c:pt idx="0">
                  <c:v>8.8314266444396369E-3</c:v>
                </c:pt>
                <c:pt idx="1">
                  <c:v>1.9087594988704045E-2</c:v>
                </c:pt>
                <c:pt idx="2">
                  <c:v>1.5015970375272006E-2</c:v>
                </c:pt>
                <c:pt idx="3">
                  <c:v>1.2012776300217604E-2</c:v>
                </c:pt>
                <c:pt idx="4">
                  <c:v>4.9629054630136293E-3</c:v>
                </c:pt>
              </c:numCache>
            </c:numRef>
          </c:val>
          <c:extLst>
            <c:ext xmlns:c16="http://schemas.microsoft.com/office/drawing/2014/chart" uri="{C3380CC4-5D6E-409C-BE32-E72D297353CC}">
              <c16:uniqueId val="{00000001-475B-493E-85A9-DD4E44B97148}"/>
            </c:ext>
          </c:extLst>
        </c:ser>
        <c:ser>
          <c:idx val="2"/>
          <c:order val="2"/>
          <c:tx>
            <c:strRef>
              <c:f>'Figure 3.5 '!$A$39</c:f>
              <c:strCache>
                <c:ptCount val="1"/>
                <c:pt idx="0">
                  <c:v>All Customers EA Programs %</c:v>
                </c:pt>
              </c:strCache>
            </c:strRef>
          </c:tx>
          <c:spPr>
            <a:solidFill>
              <a:schemeClr val="accent3"/>
            </a:solidFill>
            <a:ln>
              <a:noFill/>
            </a:ln>
            <a:effectLst/>
          </c:spPr>
          <c:invertIfNegative val="0"/>
          <c:val>
            <c:numRef>
              <c:f>'Figure 3.5 '!$B$39:$F$39</c:f>
              <c:numCache>
                <c:formatCode>0%</c:formatCode>
                <c:ptCount val="5"/>
                <c:pt idx="0">
                  <c:v>6.9863496501281083E-2</c:v>
                </c:pt>
                <c:pt idx="1">
                  <c:v>7.6266862831175924E-2</c:v>
                </c:pt>
                <c:pt idx="2">
                  <c:v>7.1942137147139651E-2</c:v>
                </c:pt>
                <c:pt idx="3">
                  <c:v>7.94998081951383E-2</c:v>
                </c:pt>
                <c:pt idx="4">
                  <c:v>8.0898628687331886E-2</c:v>
                </c:pt>
              </c:numCache>
            </c:numRef>
          </c:val>
          <c:extLst>
            <c:ext xmlns:c16="http://schemas.microsoft.com/office/drawing/2014/chart" uri="{C3380CC4-5D6E-409C-BE32-E72D297353CC}">
              <c16:uniqueId val="{00000002-475B-493E-85A9-DD4E44B97148}"/>
            </c:ext>
          </c:extLst>
        </c:ser>
        <c:ser>
          <c:idx val="3"/>
          <c:order val="3"/>
          <c:tx>
            <c:strRef>
              <c:f>'Figure 3.5 '!$A$41</c:f>
              <c:strCache>
                <c:ptCount val="1"/>
                <c:pt idx="0">
                  <c:v>Named Communities EA Programs</c:v>
                </c:pt>
              </c:strCache>
            </c:strRef>
          </c:tx>
          <c:spPr>
            <a:solidFill>
              <a:schemeClr val="accent4"/>
            </a:solidFill>
            <a:ln>
              <a:noFill/>
            </a:ln>
            <a:effectLst/>
          </c:spPr>
          <c:invertIfNegative val="0"/>
          <c:val>
            <c:numRef>
              <c:f>'Figure 3.5 '!$B$41:$F$41</c:f>
              <c:numCache>
                <c:formatCode>0%</c:formatCode>
                <c:ptCount val="5"/>
                <c:pt idx="0">
                  <c:v>0.11856253897153328</c:v>
                </c:pt>
                <c:pt idx="1">
                  <c:v>0.13053245019511192</c:v>
                </c:pt>
                <c:pt idx="2">
                  <c:v>0.12047134876500007</c:v>
                </c:pt>
                <c:pt idx="3">
                  <c:v>0.11797717063487013</c:v>
                </c:pt>
                <c:pt idx="4">
                  <c:v>0.14472595854065129</c:v>
                </c:pt>
              </c:numCache>
            </c:numRef>
          </c:val>
          <c:extLst>
            <c:ext xmlns:c16="http://schemas.microsoft.com/office/drawing/2014/chart" uri="{C3380CC4-5D6E-409C-BE32-E72D297353CC}">
              <c16:uniqueId val="{00000003-475B-493E-85A9-DD4E44B97148}"/>
            </c:ext>
          </c:extLst>
        </c:ser>
        <c:dLbls>
          <c:showLegendKey val="0"/>
          <c:showVal val="0"/>
          <c:showCatName val="0"/>
          <c:showSerName val="0"/>
          <c:showPercent val="0"/>
          <c:showBubbleSize val="0"/>
        </c:dLbls>
        <c:gapWidth val="219"/>
        <c:overlap val="-27"/>
        <c:axId val="418475903"/>
        <c:axId val="2094421439"/>
      </c:barChart>
      <c:catAx>
        <c:axId val="418475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421439"/>
        <c:crosses val="autoZero"/>
        <c:auto val="1"/>
        <c:lblAlgn val="ctr"/>
        <c:lblOffset val="100"/>
        <c:noMultiLvlLbl val="0"/>
      </c:catAx>
      <c:valAx>
        <c:axId val="2094421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475903"/>
        <c:crosses val="autoZero"/>
        <c:crossBetween val="between"/>
      </c:valAx>
      <c:spPr>
        <a:noFill/>
        <a:ln>
          <a:solidFill>
            <a:schemeClr val="tx1"/>
          </a:solidFill>
        </a:ln>
        <a:effectLst/>
      </c:spPr>
    </c:plotArea>
    <c:legend>
      <c:legendPos val="b"/>
      <c:layout>
        <c:manualLayout>
          <c:xMode val="edge"/>
          <c:yMode val="edge"/>
          <c:x val="5.2137721915195376E-2"/>
          <c:y val="0.90181437179401702"/>
          <c:w val="0.91642848991702119"/>
          <c:h val="9.818562820598297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Payment Average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'Figure 3.6'!$B$76</c:f>
              <c:strCache>
                <c:ptCount val="1"/>
                <c:pt idx="0">
                  <c:v>Avg Pmt Amt (5 yr avg)</c:v>
                </c:pt>
              </c:strCache>
            </c:strRef>
          </c:tx>
          <c:spPr>
            <a:solidFill>
              <a:schemeClr val="accent5"/>
            </a:solidFill>
            <a:ln>
              <a:noFill/>
            </a:ln>
            <a:effectLst/>
          </c:spPr>
          <c:invertIfNegative val="0"/>
          <c:val>
            <c:numRef>
              <c:f>'Figure 3.6'!$C$76</c:f>
              <c:numCache>
                <c:formatCode>_(* #,##0_);_(* \(#,##0\);_(* "-"??_);_(@_)</c:formatCode>
                <c:ptCount val="1"/>
                <c:pt idx="0">
                  <c:v>523.98765379571023</c:v>
                </c:pt>
              </c:numCache>
            </c:numRef>
          </c:val>
          <c:extLst xmlns:c15="http://schemas.microsoft.com/office/drawing/2012/chart">
            <c:ext xmlns:c16="http://schemas.microsoft.com/office/drawing/2014/chart" uri="{C3380CC4-5D6E-409C-BE32-E72D297353CC}">
              <c16:uniqueId val="{00000000-1AF8-4C98-87D4-39E2456711ED}"/>
            </c:ext>
          </c:extLst>
        </c:ser>
        <c:ser>
          <c:idx val="6"/>
          <c:order val="6"/>
          <c:tx>
            <c:strRef>
              <c:f>'Figure 3.6'!$B$80</c:f>
              <c:strCache>
                <c:ptCount val="1"/>
                <c:pt idx="0">
                  <c:v>Avg Pmt Amt (2020)</c:v>
                </c:pt>
              </c:strCache>
            </c:strRef>
          </c:tx>
          <c:spPr>
            <a:solidFill>
              <a:schemeClr val="accent1">
                <a:lumMod val="80000"/>
                <a:lumOff val="20000"/>
              </a:schemeClr>
            </a:solidFill>
            <a:ln>
              <a:noFill/>
            </a:ln>
            <a:effectLst/>
          </c:spPr>
          <c:invertIfNegative val="0"/>
          <c:val>
            <c:numRef>
              <c:f>'Figure 3.6'!$C$80</c:f>
              <c:numCache>
                <c:formatCode>_("$"* #,##0_);_("$"* \(#,##0\);_("$"* "-"??_);_(@_)</c:formatCode>
                <c:ptCount val="1"/>
                <c:pt idx="0">
                  <c:v>521.74244178111405</c:v>
                </c:pt>
              </c:numCache>
            </c:numRef>
          </c:val>
          <c:extLst xmlns:c15="http://schemas.microsoft.com/office/drawing/2012/chart">
            <c:ext xmlns:c16="http://schemas.microsoft.com/office/drawing/2014/chart" uri="{C3380CC4-5D6E-409C-BE32-E72D297353CC}">
              <c16:uniqueId val="{00000001-1AF8-4C98-87D4-39E2456711ED}"/>
            </c:ext>
          </c:extLst>
        </c:ser>
        <c:ser>
          <c:idx val="8"/>
          <c:order val="8"/>
          <c:tx>
            <c:strRef>
              <c:f>'[1]Penetration Rate'!$B$82</c:f>
              <c:strCache>
                <c:ptCount val="1"/>
                <c:pt idx="0">
                  <c:v>Customer Count (2021)</c:v>
                </c:pt>
              </c:strCache>
              <c:extLst xmlns:c15="http://schemas.microsoft.com/office/drawing/2012/chart"/>
            </c:strRef>
          </c:tx>
          <c:spPr>
            <a:solidFill>
              <a:schemeClr val="accent5">
                <a:lumMod val="80000"/>
                <a:lumOff val="20000"/>
              </a:schemeClr>
            </a:solidFill>
            <a:ln>
              <a:noFill/>
            </a:ln>
            <a:effectLst/>
          </c:spPr>
          <c:invertIfNegative val="0"/>
          <c:val>
            <c:numRef>
              <c:f>'[1]Penetration Rate'!$C$82</c:f>
              <c:numCache>
                <c:formatCode>General</c:formatCode>
                <c:ptCount val="1"/>
                <c:pt idx="0">
                  <c:v>0</c:v>
                </c:pt>
              </c:numCache>
              <c:extLst xmlns:c15="http://schemas.microsoft.com/office/drawing/2012/chart"/>
            </c:numRef>
          </c:val>
          <c:extLst xmlns:c15="http://schemas.microsoft.com/office/drawing/2012/chart">
            <c:ext xmlns:c16="http://schemas.microsoft.com/office/drawing/2014/chart" uri="{C3380CC4-5D6E-409C-BE32-E72D297353CC}">
              <c16:uniqueId val="{00000002-1AF8-4C98-87D4-39E2456711ED}"/>
            </c:ext>
          </c:extLst>
        </c:ser>
        <c:ser>
          <c:idx val="9"/>
          <c:order val="9"/>
          <c:tx>
            <c:strRef>
              <c:f>'[1]Penetration Rate'!$B$83</c:f>
              <c:strCache>
                <c:ptCount val="1"/>
                <c:pt idx="0">
                  <c:v>Payment Total (2021)</c:v>
                </c:pt>
              </c:strCache>
              <c:extLst xmlns:c15="http://schemas.microsoft.com/office/drawing/2012/chart"/>
            </c:strRef>
          </c:tx>
          <c:spPr>
            <a:solidFill>
              <a:schemeClr val="accent1">
                <a:lumMod val="80000"/>
              </a:schemeClr>
            </a:solidFill>
            <a:ln>
              <a:noFill/>
            </a:ln>
            <a:effectLst/>
          </c:spPr>
          <c:invertIfNegative val="0"/>
          <c:val>
            <c:numRef>
              <c:f>'[1]Penetration Rate'!$C$83</c:f>
              <c:numCache>
                <c:formatCode>General</c:formatCode>
                <c:ptCount val="1"/>
                <c:pt idx="0">
                  <c:v>0</c:v>
                </c:pt>
              </c:numCache>
              <c:extLst xmlns:c15="http://schemas.microsoft.com/office/drawing/2012/chart"/>
            </c:numRef>
          </c:val>
          <c:extLst xmlns:c15="http://schemas.microsoft.com/office/drawing/2012/chart">
            <c:ext xmlns:c16="http://schemas.microsoft.com/office/drawing/2014/chart" uri="{C3380CC4-5D6E-409C-BE32-E72D297353CC}">
              <c16:uniqueId val="{00000003-1AF8-4C98-87D4-39E2456711ED}"/>
            </c:ext>
          </c:extLst>
        </c:ser>
        <c:ser>
          <c:idx val="10"/>
          <c:order val="10"/>
          <c:tx>
            <c:strRef>
              <c:f>'[1]Penetration Rate'!$B$84</c:f>
              <c:strCache>
                <c:ptCount val="1"/>
                <c:pt idx="0">
                  <c:v>Avg Pmt Amt (2021)</c:v>
                </c:pt>
              </c:strCache>
              <c:extLst xmlns:c15="http://schemas.microsoft.com/office/drawing/2012/chart"/>
            </c:strRef>
          </c:tx>
          <c:spPr>
            <a:solidFill>
              <a:schemeClr val="accent3">
                <a:lumMod val="80000"/>
              </a:schemeClr>
            </a:solidFill>
            <a:ln>
              <a:noFill/>
            </a:ln>
            <a:effectLst/>
          </c:spPr>
          <c:invertIfNegative val="0"/>
          <c:val>
            <c:numRef>
              <c:f>'[1]Penetration Rate'!$C$84</c:f>
              <c:numCache>
                <c:formatCode>General</c:formatCode>
                <c:ptCount val="1"/>
                <c:pt idx="0">
                  <c:v>0</c:v>
                </c:pt>
              </c:numCache>
              <c:extLst xmlns:c15="http://schemas.microsoft.com/office/drawing/2012/chart"/>
            </c:numRef>
          </c:val>
          <c:extLst xmlns:c15="http://schemas.microsoft.com/office/drawing/2012/chart">
            <c:ext xmlns:c16="http://schemas.microsoft.com/office/drawing/2014/chart" uri="{C3380CC4-5D6E-409C-BE32-E72D297353CC}">
              <c16:uniqueId val="{00000004-1AF8-4C98-87D4-39E2456711ED}"/>
            </c:ext>
          </c:extLst>
        </c:ser>
        <c:ser>
          <c:idx val="11"/>
          <c:order val="11"/>
          <c:tx>
            <c:strRef>
              <c:f>'[1]Penetration Rate'!$B$85</c:f>
              <c:strCache>
                <c:ptCount val="1"/>
                <c:pt idx="0">
                  <c:v>Payments (2021)</c:v>
                </c:pt>
              </c:strCache>
              <c:extLst xmlns:c15="http://schemas.microsoft.com/office/drawing/2012/chart"/>
            </c:strRef>
          </c:tx>
          <c:spPr>
            <a:solidFill>
              <a:schemeClr val="accent5">
                <a:lumMod val="80000"/>
              </a:schemeClr>
            </a:solidFill>
            <a:ln>
              <a:noFill/>
            </a:ln>
            <a:effectLst/>
          </c:spPr>
          <c:invertIfNegative val="0"/>
          <c:val>
            <c:numRef>
              <c:f>'[1]Penetration Rate'!$C$85</c:f>
              <c:numCache>
                <c:formatCode>General</c:formatCode>
                <c:ptCount val="1"/>
                <c:pt idx="0">
                  <c:v>0</c:v>
                </c:pt>
              </c:numCache>
              <c:extLst xmlns:c15="http://schemas.microsoft.com/office/drawing/2012/chart"/>
            </c:numRef>
          </c:val>
          <c:extLst xmlns:c15="http://schemas.microsoft.com/office/drawing/2012/chart">
            <c:ext xmlns:c16="http://schemas.microsoft.com/office/drawing/2014/chart" uri="{C3380CC4-5D6E-409C-BE32-E72D297353CC}">
              <c16:uniqueId val="{00000005-1AF8-4C98-87D4-39E2456711ED}"/>
            </c:ext>
          </c:extLst>
        </c:ser>
        <c:dLbls>
          <c:showLegendKey val="0"/>
          <c:showVal val="0"/>
          <c:showCatName val="0"/>
          <c:showSerName val="0"/>
          <c:showPercent val="0"/>
          <c:showBubbleSize val="0"/>
        </c:dLbls>
        <c:gapWidth val="219"/>
        <c:overlap val="-27"/>
        <c:axId val="412828416"/>
        <c:axId val="412826848"/>
        <c:extLst>
          <c:ext xmlns:c15="http://schemas.microsoft.com/office/drawing/2012/chart" uri="{02D57815-91ED-43cb-92C2-25804820EDAC}">
            <c15:filteredBarSeries>
              <c15:ser>
                <c:idx val="0"/>
                <c:order val="0"/>
                <c:tx>
                  <c:strRef>
                    <c:extLst>
                      <c:ext uri="{02D57815-91ED-43cb-92C2-25804820EDAC}">
                        <c15:formulaRef>
                          <c15:sqref>'Figure 3.6'!$B$74</c15:sqref>
                        </c15:formulaRef>
                      </c:ext>
                    </c:extLst>
                    <c:strCache>
                      <c:ptCount val="1"/>
                      <c:pt idx="0">
                        <c:v>Customer Count (5 yr avg)</c:v>
                      </c:pt>
                    </c:strCache>
                  </c:strRef>
                </c:tx>
                <c:spPr>
                  <a:solidFill>
                    <a:schemeClr val="accent1"/>
                  </a:solidFill>
                  <a:ln>
                    <a:noFill/>
                  </a:ln>
                  <a:effectLst/>
                </c:spPr>
                <c:invertIfNegative val="0"/>
                <c:val>
                  <c:numRef>
                    <c:extLst>
                      <c:ext uri="{02D57815-91ED-43cb-92C2-25804820EDAC}">
                        <c15:formulaRef>
                          <c15:sqref>'Figure 3.6'!$C$74</c15:sqref>
                        </c15:formulaRef>
                      </c:ext>
                    </c:extLst>
                    <c:numCache>
                      <c:formatCode>_(* #,##0_);_(* \(#,##0\);_(* "-"??_);_(@_)</c:formatCode>
                      <c:ptCount val="1"/>
                      <c:pt idx="0">
                        <c:v>19366.599999999999</c:v>
                      </c:pt>
                    </c:numCache>
                  </c:numRef>
                </c:val>
                <c:extLst>
                  <c:ext xmlns:c16="http://schemas.microsoft.com/office/drawing/2014/chart" uri="{C3380CC4-5D6E-409C-BE32-E72D297353CC}">
                    <c16:uniqueId val="{00000006-1AF8-4C98-87D4-39E2456711E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'Figure 3.6'!$B$75</c15:sqref>
                        </c15:formulaRef>
                      </c:ext>
                    </c:extLst>
                    <c:strCache>
                      <c:ptCount val="1"/>
                      <c:pt idx="0">
                        <c:v>Payment Total (5 yr avg)</c:v>
                      </c:pt>
                    </c:strCache>
                  </c:strRef>
                </c:tx>
                <c:spPr>
                  <a:solidFill>
                    <a:schemeClr val="accent3"/>
                  </a:solidFill>
                  <a:ln>
                    <a:noFill/>
                  </a:ln>
                  <a:effectLst/>
                </c:spPr>
                <c:invertIfNegative val="0"/>
                <c:val>
                  <c:numRef>
                    <c:extLst xmlns:c15="http://schemas.microsoft.com/office/drawing/2012/chart">
                      <c:ext xmlns:c15="http://schemas.microsoft.com/office/drawing/2012/chart" uri="{02D57815-91ED-43cb-92C2-25804820EDAC}">
                        <c15:formulaRef>
                          <c15:sqref>'Figure 3.6'!$C$75</c15:sqref>
                        </c15:formulaRef>
                      </c:ext>
                    </c:extLst>
                    <c:numCache>
                      <c:formatCode>_(* #,##0_);_(* \(#,##0\);_(* "-"??_);_(@_)</c:formatCode>
                      <c:ptCount val="1"/>
                      <c:pt idx="0">
                        <c:v>10147859.296</c:v>
                      </c:pt>
                    </c:numCache>
                  </c:numRef>
                </c:val>
                <c:extLst xmlns:c15="http://schemas.microsoft.com/office/drawing/2012/chart">
                  <c:ext xmlns:c16="http://schemas.microsoft.com/office/drawing/2014/chart" uri="{C3380CC4-5D6E-409C-BE32-E72D297353CC}">
                    <c16:uniqueId val="{00000007-1AF8-4C98-87D4-39E2456711E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'Figure 3.6'!$B$77</c15:sqref>
                        </c15:formulaRef>
                      </c:ext>
                    </c:extLst>
                    <c:strCache>
                      <c:ptCount val="1"/>
                      <c:pt idx="0">
                        <c:v>Payments (5 yr avg)</c:v>
                      </c:pt>
                    </c:strCache>
                  </c:strRef>
                </c:tx>
                <c:spPr>
                  <a:solidFill>
                    <a:schemeClr val="accent1">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3.6'!$C$77</c15:sqref>
                        </c15:formulaRef>
                      </c:ext>
                    </c:extLst>
                    <c:numCache>
                      <c:formatCode>_(* #,##0_);_(* \(#,##0\);_(* "-"??_);_(@_)</c:formatCode>
                      <c:ptCount val="1"/>
                      <c:pt idx="0">
                        <c:v>32910.6</c:v>
                      </c:pt>
                    </c:numCache>
                  </c:numRef>
                </c:val>
                <c:extLst xmlns:c15="http://schemas.microsoft.com/office/drawing/2012/chart">
                  <c:ext xmlns:c16="http://schemas.microsoft.com/office/drawing/2014/chart" uri="{C3380CC4-5D6E-409C-BE32-E72D297353CC}">
                    <c16:uniqueId val="{00000008-1AF8-4C98-87D4-39E2456711E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'Figure 3.6'!$B$78</c15:sqref>
                        </c15:formulaRef>
                      </c:ext>
                    </c:extLst>
                    <c:strCache>
                      <c:ptCount val="1"/>
                      <c:pt idx="0">
                        <c:v>Customer Count (2020)</c:v>
                      </c:pt>
                    </c:strCache>
                  </c:strRef>
                </c:tx>
                <c:spPr>
                  <a:solidFill>
                    <a:schemeClr val="accent3">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3.6'!$C$78</c15:sqref>
                        </c15:formulaRef>
                      </c:ext>
                    </c:extLst>
                    <c:numCache>
                      <c:formatCode>_(* #,##0_);_(* \(#,##0\);_(* "-"??_);_(@_)</c:formatCode>
                      <c:ptCount val="1"/>
                      <c:pt idx="0">
                        <c:v>23446</c:v>
                      </c:pt>
                    </c:numCache>
                  </c:numRef>
                </c:val>
                <c:extLst xmlns:c15="http://schemas.microsoft.com/office/drawing/2012/chart">
                  <c:ext xmlns:c16="http://schemas.microsoft.com/office/drawing/2014/chart" uri="{C3380CC4-5D6E-409C-BE32-E72D297353CC}">
                    <c16:uniqueId val="{00000009-1AF8-4C98-87D4-39E2456711E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'Figure 3.6'!$B$79</c15:sqref>
                        </c15:formulaRef>
                      </c:ext>
                    </c:extLst>
                    <c:strCache>
                      <c:ptCount val="1"/>
                      <c:pt idx="0">
                        <c:v>Payment Total (2020)</c:v>
                      </c:pt>
                    </c:strCache>
                  </c:strRef>
                </c:tx>
                <c:spPr>
                  <a:solidFill>
                    <a:schemeClr val="accent5">
                      <a:lumMod val="6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3.6'!$C$79</c15:sqref>
                        </c15:formulaRef>
                      </c:ext>
                    </c:extLst>
                    <c:numCache>
                      <c:formatCode>_("$"* #,##0_);_("$"* \(#,##0\);_("$"* "-"??_);_(@_)</c:formatCode>
                      <c:ptCount val="1"/>
                      <c:pt idx="0">
                        <c:v>12232773.289999999</c:v>
                      </c:pt>
                    </c:numCache>
                  </c:numRef>
                </c:val>
                <c:extLst xmlns:c15="http://schemas.microsoft.com/office/drawing/2012/chart">
                  <c:ext xmlns:c16="http://schemas.microsoft.com/office/drawing/2014/chart" uri="{C3380CC4-5D6E-409C-BE32-E72D297353CC}">
                    <c16:uniqueId val="{0000000A-1AF8-4C98-87D4-39E2456711E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'Figure 3.6'!$B$81</c15:sqref>
                        </c15:formulaRef>
                      </c:ext>
                    </c:extLst>
                    <c:strCache>
                      <c:ptCount val="1"/>
                      <c:pt idx="0">
                        <c:v>Payments (2020)</c:v>
                      </c:pt>
                    </c:strCache>
                  </c:strRef>
                </c:tx>
                <c:spPr>
                  <a:solidFill>
                    <a:schemeClr val="accent3">
                      <a:lumMod val="80000"/>
                      <a:lumOff val="2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3.6'!$C$81</c15:sqref>
                        </c15:formulaRef>
                      </c:ext>
                    </c:extLst>
                    <c:numCache>
                      <c:formatCode>_(* #,##0_);_(* \(#,##0\);_(* "-"??_);_(@_)</c:formatCode>
                      <c:ptCount val="1"/>
                      <c:pt idx="0">
                        <c:v>38666</c:v>
                      </c:pt>
                    </c:numCache>
                  </c:numRef>
                </c:val>
                <c:extLst xmlns:c15="http://schemas.microsoft.com/office/drawing/2012/chart">
                  <c:ext xmlns:c16="http://schemas.microsoft.com/office/drawing/2014/chart" uri="{C3380CC4-5D6E-409C-BE32-E72D297353CC}">
                    <c16:uniqueId val="{0000000B-1AF8-4C98-87D4-39E2456711ED}"/>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'Figure 3.6'!$B$86</c15:sqref>
                        </c15:formulaRef>
                      </c:ext>
                    </c:extLst>
                    <c:strCache>
                      <c:ptCount val="1"/>
                      <c:pt idx="0">
                        <c:v>Eligible Households*</c:v>
                      </c:pt>
                    </c:strCache>
                  </c:strRef>
                </c:tx>
                <c:spPr>
                  <a:solidFill>
                    <a:schemeClr val="accent1">
                      <a:lumMod val="60000"/>
                      <a:lumOff val="4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3.6'!$C$86</c15:sqref>
                        </c15:formulaRef>
                      </c:ext>
                    </c:extLst>
                    <c:numCache>
                      <c:formatCode>_(* #,##0_);_(* \(#,##0\);_(* "-"??_);_(@_)</c:formatCode>
                      <c:ptCount val="1"/>
                      <c:pt idx="0">
                        <c:v>94387</c:v>
                      </c:pt>
                    </c:numCache>
                  </c:numRef>
                </c:val>
                <c:extLst xmlns:c15="http://schemas.microsoft.com/office/drawing/2012/chart">
                  <c:ext xmlns:c16="http://schemas.microsoft.com/office/drawing/2014/chart" uri="{C3380CC4-5D6E-409C-BE32-E72D297353CC}">
                    <c16:uniqueId val="{0000000C-1AF8-4C98-87D4-39E2456711ED}"/>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'Figure 3.6'!$B$87</c15:sqref>
                        </c15:formulaRef>
                      </c:ext>
                    </c:extLst>
                    <c:strCache>
                      <c:ptCount val="1"/>
                      <c:pt idx="0">
                        <c:v>4 Year Avg. (16-19)</c:v>
                      </c:pt>
                    </c:strCache>
                  </c:strRef>
                </c:tx>
                <c:spPr>
                  <a:solidFill>
                    <a:schemeClr val="accent3">
                      <a:lumMod val="60000"/>
                      <a:lumOff val="4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3.6'!$C$87</c15:sqref>
                        </c15:formulaRef>
                      </c:ext>
                    </c:extLst>
                    <c:numCache>
                      <c:formatCode>0%</c:formatCode>
                      <c:ptCount val="1"/>
                      <c:pt idx="0">
                        <c:v>0.20518291713901277</c:v>
                      </c:pt>
                    </c:numCache>
                  </c:numRef>
                </c:val>
                <c:extLst xmlns:c15="http://schemas.microsoft.com/office/drawing/2012/chart">
                  <c:ext xmlns:c16="http://schemas.microsoft.com/office/drawing/2014/chart" uri="{C3380CC4-5D6E-409C-BE32-E72D297353CC}">
                    <c16:uniqueId val="{0000000D-1AF8-4C98-87D4-39E2456711ED}"/>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'Figure 3.6'!$B$88</c15:sqref>
                        </c15:formulaRef>
                      </c:ext>
                    </c:extLst>
                    <c:strCache>
                      <c:ptCount val="1"/>
                      <c:pt idx="0">
                        <c:v>2020</c:v>
                      </c:pt>
                    </c:strCache>
                  </c:strRef>
                </c:tx>
                <c:spPr>
                  <a:solidFill>
                    <a:schemeClr val="accent5">
                      <a:lumMod val="60000"/>
                      <a:lumOff val="4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3.6'!$C$88</c15:sqref>
                        </c15:formulaRef>
                      </c:ext>
                    </c:extLst>
                    <c:numCache>
                      <c:formatCode>0%</c:formatCode>
                      <c:ptCount val="1"/>
                      <c:pt idx="0">
                        <c:v>0.24840285208768156</c:v>
                      </c:pt>
                    </c:numCache>
                  </c:numRef>
                </c:val>
                <c:extLst xmlns:c15="http://schemas.microsoft.com/office/drawing/2012/chart">
                  <c:ext xmlns:c16="http://schemas.microsoft.com/office/drawing/2014/chart" uri="{C3380CC4-5D6E-409C-BE32-E72D297353CC}">
                    <c16:uniqueId val="{0000000E-1AF8-4C98-87D4-39E2456711ED}"/>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'Figure 3.6'!$B$89</c15:sqref>
                        </c15:formulaRef>
                      </c:ext>
                    </c:extLst>
                    <c:strCache>
                      <c:ptCount val="1"/>
                      <c:pt idx="0">
                        <c:v>Total</c:v>
                      </c:pt>
                    </c:strCache>
                  </c:strRef>
                </c:tx>
                <c:spPr>
                  <a:solidFill>
                    <a:schemeClr val="accent1">
                      <a:lumMod val="50000"/>
                    </a:schemeClr>
                  </a:solidFill>
                  <a:ln>
                    <a:noFill/>
                  </a:ln>
                  <a:effectLst/>
                </c:spPr>
                <c:invertIfNegative val="0"/>
                <c:val>
                  <c:numRef>
                    <c:extLst xmlns:c15="http://schemas.microsoft.com/office/drawing/2012/chart">
                      <c:ext xmlns:c15="http://schemas.microsoft.com/office/drawing/2012/chart" uri="{02D57815-91ED-43cb-92C2-25804820EDAC}">
                        <c15:formulaRef>
                          <c15:sqref>'Figure 3.6'!$C$89</c15:sqref>
                        </c15:formulaRef>
                      </c:ext>
                    </c:extLst>
                    <c:numCache>
                      <c:formatCode>0%</c:formatCode>
                      <c:ptCount val="1"/>
                      <c:pt idx="0">
                        <c:v>0</c:v>
                      </c:pt>
                    </c:numCache>
                  </c:numRef>
                </c:val>
                <c:extLst xmlns:c15="http://schemas.microsoft.com/office/drawing/2012/chart">
                  <c:ext xmlns:c16="http://schemas.microsoft.com/office/drawing/2014/chart" uri="{C3380CC4-5D6E-409C-BE32-E72D297353CC}">
                    <c16:uniqueId val="{0000000F-1AF8-4C98-87D4-39E2456711ED}"/>
                  </c:ext>
                </c:extLst>
              </c15:ser>
            </c15:filteredBarSeries>
          </c:ext>
        </c:extLst>
      </c:barChart>
      <c:catAx>
        <c:axId val="412828416"/>
        <c:scaling>
          <c:orientation val="minMax"/>
        </c:scaling>
        <c:delete val="1"/>
        <c:axPos val="b"/>
        <c:numFmt formatCode="General" sourceLinked="1"/>
        <c:majorTickMark val="none"/>
        <c:minorTickMark val="none"/>
        <c:tickLblPos val="nextTo"/>
        <c:crossAx val="412826848"/>
        <c:crosses val="autoZero"/>
        <c:auto val="1"/>
        <c:lblAlgn val="ctr"/>
        <c:lblOffset val="100"/>
        <c:noMultiLvlLbl val="0"/>
      </c:catAx>
      <c:valAx>
        <c:axId val="4128268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828416"/>
        <c:crosses val="autoZero"/>
        <c:crossBetween val="between"/>
        <c:majorUnit val="7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1897078655271"/>
          <c:y val="3.8045822748406267E-2"/>
          <c:w val="0.87225729350462322"/>
          <c:h val="0.88906742253576365"/>
        </c:manualLayout>
      </c:layout>
      <c:barChart>
        <c:barDir val="col"/>
        <c:grouping val="clustered"/>
        <c:varyColors val="0"/>
        <c:ser>
          <c:idx val="0"/>
          <c:order val="0"/>
          <c:tx>
            <c:strRef>
              <c:f>'Figure 3.6'!$B$104</c:f>
              <c:strCache>
                <c:ptCount val="1"/>
                <c:pt idx="0">
                  <c:v>2016</c:v>
                </c:pt>
              </c:strCache>
            </c:strRef>
          </c:tx>
          <c:spPr>
            <a:solidFill>
              <a:srgbClr val="0076B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3.6'!$C$94:$D$94</c:f>
              <c:strCache>
                <c:ptCount val="2"/>
                <c:pt idx="0">
                  <c:v>All Customers</c:v>
                </c:pt>
                <c:pt idx="1">
                  <c:v>Named Communities</c:v>
                </c:pt>
              </c:strCache>
            </c:strRef>
          </c:cat>
          <c:val>
            <c:numRef>
              <c:f>'Figure 3.6'!$C$104:$D$104</c:f>
              <c:numCache>
                <c:formatCode>0%</c:formatCode>
                <c:ptCount val="2"/>
                <c:pt idx="0">
                  <c:v>0.18691133312850286</c:v>
                </c:pt>
                <c:pt idx="1">
                  <c:v>0.10179843538306892</c:v>
                </c:pt>
              </c:numCache>
            </c:numRef>
          </c:val>
          <c:extLst xmlns:c15="http://schemas.microsoft.com/office/drawing/2012/chart">
            <c:ext xmlns:c16="http://schemas.microsoft.com/office/drawing/2014/chart" uri="{C3380CC4-5D6E-409C-BE32-E72D297353CC}">
              <c16:uniqueId val="{00000000-8C6C-4A4A-9527-F37015F8DC4F}"/>
            </c:ext>
          </c:extLst>
        </c:ser>
        <c:ser>
          <c:idx val="1"/>
          <c:order val="1"/>
          <c:tx>
            <c:strRef>
              <c:f>'Figure 3.6'!$B$105</c:f>
              <c:strCache>
                <c:ptCount val="1"/>
                <c:pt idx="0">
                  <c:v>2017</c:v>
                </c:pt>
              </c:strCache>
            </c:strRef>
          </c:tx>
          <c:spPr>
            <a:solidFill>
              <a:srgbClr val="F58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3.6'!$C$94:$D$94</c:f>
              <c:strCache>
                <c:ptCount val="2"/>
                <c:pt idx="0">
                  <c:v>All Customers</c:v>
                </c:pt>
                <c:pt idx="1">
                  <c:v>Named Communities</c:v>
                </c:pt>
              </c:strCache>
            </c:strRef>
          </c:cat>
          <c:val>
            <c:numRef>
              <c:f>'Figure 3.6'!$C$105:$D$105</c:f>
              <c:numCache>
                <c:formatCode>0%</c:formatCode>
                <c:ptCount val="2"/>
                <c:pt idx="0">
                  <c:v>0.20430779662453516</c:v>
                </c:pt>
                <c:pt idx="1">
                  <c:v>0.11001485949040689</c:v>
                </c:pt>
              </c:numCache>
            </c:numRef>
          </c:val>
          <c:extLst>
            <c:ext xmlns:c16="http://schemas.microsoft.com/office/drawing/2014/chart" uri="{C3380CC4-5D6E-409C-BE32-E72D297353CC}">
              <c16:uniqueId val="{00000001-8C6C-4A4A-9527-F37015F8DC4F}"/>
            </c:ext>
          </c:extLst>
        </c:ser>
        <c:ser>
          <c:idx val="2"/>
          <c:order val="2"/>
          <c:tx>
            <c:strRef>
              <c:f>'Figure 3.6'!$B$106</c:f>
              <c:strCache>
                <c:ptCount val="1"/>
                <c:pt idx="0">
                  <c:v>2018</c:v>
                </c:pt>
              </c:strCache>
            </c:strRef>
          </c:tx>
          <c:spPr>
            <a:solidFill>
              <a:srgbClr val="00B5E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3.6'!$C$94:$D$94</c:f>
              <c:strCache>
                <c:ptCount val="2"/>
                <c:pt idx="0">
                  <c:v>All Customers</c:v>
                </c:pt>
                <c:pt idx="1">
                  <c:v>Named Communities</c:v>
                </c:pt>
              </c:strCache>
            </c:strRef>
          </c:cat>
          <c:val>
            <c:numRef>
              <c:f>'Figure 3.6'!$C$106:$D$106</c:f>
              <c:numCache>
                <c:formatCode>0%</c:formatCode>
                <c:ptCount val="2"/>
                <c:pt idx="0">
                  <c:v>0.19527053513725406</c:v>
                </c:pt>
                <c:pt idx="1">
                  <c:v>0.10343734976618155</c:v>
                </c:pt>
              </c:numCache>
            </c:numRef>
          </c:val>
          <c:extLst>
            <c:ext xmlns:c16="http://schemas.microsoft.com/office/drawing/2014/chart" uri="{C3380CC4-5D6E-409C-BE32-E72D297353CC}">
              <c16:uniqueId val="{00000002-8C6C-4A4A-9527-F37015F8DC4F}"/>
            </c:ext>
          </c:extLst>
        </c:ser>
        <c:ser>
          <c:idx val="3"/>
          <c:order val="3"/>
          <c:tx>
            <c:strRef>
              <c:f>'Figure 3.6'!$B$107</c:f>
              <c:strCache>
                <c:ptCount val="1"/>
                <c:pt idx="0">
                  <c:v>2019</c:v>
                </c:pt>
              </c:strCache>
            </c:strRef>
          </c:tx>
          <c:spPr>
            <a:solidFill>
              <a:srgbClr val="FFE9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3.6'!$C$94:$D$94</c:f>
              <c:strCache>
                <c:ptCount val="2"/>
                <c:pt idx="0">
                  <c:v>All Customers</c:v>
                </c:pt>
                <c:pt idx="1">
                  <c:v>Named Communities</c:v>
                </c:pt>
              </c:strCache>
            </c:strRef>
          </c:cat>
          <c:val>
            <c:numRef>
              <c:f>'Figure 3.6'!$C$107:$D$107</c:f>
              <c:numCache>
                <c:formatCode>0%</c:formatCode>
                <c:ptCount val="2"/>
                <c:pt idx="0">
                  <c:v>0.19102206871709027</c:v>
                </c:pt>
                <c:pt idx="1">
                  <c:v>0.10129583497224771</c:v>
                </c:pt>
              </c:numCache>
            </c:numRef>
          </c:val>
          <c:extLst>
            <c:ext xmlns:c16="http://schemas.microsoft.com/office/drawing/2014/chart" uri="{C3380CC4-5D6E-409C-BE32-E72D297353CC}">
              <c16:uniqueId val="{00000003-8C6C-4A4A-9527-F37015F8DC4F}"/>
            </c:ext>
          </c:extLst>
        </c:ser>
        <c:ser>
          <c:idx val="4"/>
          <c:order val="4"/>
          <c:tx>
            <c:strRef>
              <c:f>'Figure 3.6'!$B$108</c:f>
              <c:strCache>
                <c:ptCount val="1"/>
                <c:pt idx="0">
                  <c:v>2020</c:v>
                </c:pt>
              </c:strCache>
            </c:strRef>
          </c:tx>
          <c:spPr>
            <a:solidFill>
              <a:srgbClr val="9BBB5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3.6'!$C$94:$D$94</c:f>
              <c:strCache>
                <c:ptCount val="2"/>
                <c:pt idx="0">
                  <c:v>All Customers</c:v>
                </c:pt>
                <c:pt idx="1">
                  <c:v>Named Communities</c:v>
                </c:pt>
              </c:strCache>
            </c:strRef>
          </c:cat>
          <c:val>
            <c:numRef>
              <c:f>'Figure 3.6'!$C$108:$D$108</c:f>
              <c:numCache>
                <c:formatCode>0%</c:formatCode>
                <c:ptCount val="2"/>
                <c:pt idx="0">
                  <c:v>0.24840285208768156</c:v>
                </c:pt>
                <c:pt idx="1">
                  <c:v>0.12426248852759932</c:v>
                </c:pt>
              </c:numCache>
            </c:numRef>
          </c:val>
          <c:extLst>
            <c:ext xmlns:c16="http://schemas.microsoft.com/office/drawing/2014/chart" uri="{C3380CC4-5D6E-409C-BE32-E72D297353CC}">
              <c16:uniqueId val="{00000004-8C6C-4A4A-9527-F37015F8DC4F}"/>
            </c:ext>
          </c:extLst>
        </c:ser>
        <c:dLbls>
          <c:dLblPos val="outEnd"/>
          <c:showLegendKey val="0"/>
          <c:showVal val="1"/>
          <c:showCatName val="0"/>
          <c:showSerName val="0"/>
          <c:showPercent val="0"/>
          <c:showBubbleSize val="0"/>
        </c:dLbls>
        <c:gapWidth val="219"/>
        <c:axId val="921144432"/>
        <c:axId val="921143256"/>
        <c:extLst/>
      </c:barChart>
      <c:catAx>
        <c:axId val="921144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1143256"/>
        <c:crosses val="autoZero"/>
        <c:auto val="1"/>
        <c:lblAlgn val="ctr"/>
        <c:lblOffset val="100"/>
        <c:noMultiLvlLbl val="0"/>
      </c:catAx>
      <c:valAx>
        <c:axId val="921143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Customer Percentage</a:t>
                </a:r>
              </a:p>
            </c:rich>
          </c:tx>
          <c:layout>
            <c:manualLayout>
              <c:xMode val="edge"/>
              <c:yMode val="edge"/>
              <c:x val="1.6496723890044373E-2"/>
              <c:y val="0.2761627495170130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1144432"/>
        <c:crosses val="autoZero"/>
        <c:crossBetween val="between"/>
      </c:valAx>
      <c:spPr>
        <a:noFill/>
        <a:ln>
          <a:solidFill>
            <a:schemeClr val="tx1"/>
          </a:solidFill>
        </a:ln>
        <a:effectLst/>
      </c:spPr>
    </c:plotArea>
    <c:legend>
      <c:legendPos val="b"/>
      <c:layout>
        <c:manualLayout>
          <c:xMode val="edge"/>
          <c:yMode val="edge"/>
          <c:x val="0.60070096784570082"/>
          <c:y val="7.3497339788141589E-2"/>
          <c:w val="0.34248477808677291"/>
          <c:h val="5.83661593164061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61123886062916"/>
          <c:y val="5.8316948732662889E-2"/>
          <c:w val="0.82845020478634845"/>
          <c:h val="0.65125416670586422"/>
        </c:manualLayout>
      </c:layout>
      <c:barChart>
        <c:barDir val="col"/>
        <c:grouping val="stacked"/>
        <c:varyColors val="0"/>
        <c:ser>
          <c:idx val="0"/>
          <c:order val="0"/>
          <c:tx>
            <c:strRef>
              <c:f>'Figure 3.7'!$D$25</c:f>
              <c:strCache>
                <c:ptCount val="1"/>
                <c:pt idx="0">
                  <c:v>Energy Fairs</c:v>
                </c:pt>
              </c:strCache>
            </c:strRef>
          </c:tx>
          <c:spPr>
            <a:solidFill>
              <a:srgbClr val="002A5F"/>
            </a:solidFill>
            <a:ln>
              <a:noFill/>
            </a:ln>
            <a:effectLst/>
          </c:spPr>
          <c:invertIfNegative val="0"/>
          <c:cat>
            <c:numRef>
              <c:f>'Figure 3.7'!$E$24:$I$24</c:f>
              <c:numCache>
                <c:formatCode>General</c:formatCode>
                <c:ptCount val="5"/>
                <c:pt idx="0">
                  <c:v>2016</c:v>
                </c:pt>
                <c:pt idx="1">
                  <c:v>2017</c:v>
                </c:pt>
                <c:pt idx="2">
                  <c:v>2018</c:v>
                </c:pt>
                <c:pt idx="3">
                  <c:v>2019</c:v>
                </c:pt>
                <c:pt idx="4">
                  <c:v>2020</c:v>
                </c:pt>
              </c:numCache>
            </c:numRef>
          </c:cat>
          <c:val>
            <c:numRef>
              <c:f>'Figure 3.7'!$E$25:$I$25</c:f>
              <c:numCache>
                <c:formatCode>_(* #,##0_);_(* \(#,##0\);_(* "-"??_);_(@_)</c:formatCode>
                <c:ptCount val="5"/>
                <c:pt idx="0">
                  <c:v>835</c:v>
                </c:pt>
                <c:pt idx="1">
                  <c:v>1270</c:v>
                </c:pt>
                <c:pt idx="2">
                  <c:v>2879</c:v>
                </c:pt>
                <c:pt idx="3">
                  <c:v>3101</c:v>
                </c:pt>
                <c:pt idx="4">
                  <c:v>0</c:v>
                </c:pt>
              </c:numCache>
            </c:numRef>
          </c:val>
          <c:extLst>
            <c:ext xmlns:c16="http://schemas.microsoft.com/office/drawing/2014/chart" uri="{C3380CC4-5D6E-409C-BE32-E72D297353CC}">
              <c16:uniqueId val="{00000000-2D46-43BF-82C5-8675BD2137C0}"/>
            </c:ext>
          </c:extLst>
        </c:ser>
        <c:ser>
          <c:idx val="1"/>
          <c:order val="1"/>
          <c:tx>
            <c:strRef>
              <c:f>'Figure 3.7'!$D$26</c:f>
              <c:strCache>
                <c:ptCount val="1"/>
                <c:pt idx="0">
                  <c:v>Outreach</c:v>
                </c:pt>
              </c:strCache>
            </c:strRef>
          </c:tx>
          <c:spPr>
            <a:solidFill>
              <a:srgbClr val="0076BE"/>
            </a:solidFill>
            <a:ln>
              <a:noFill/>
            </a:ln>
            <a:effectLst/>
          </c:spPr>
          <c:invertIfNegative val="0"/>
          <c:cat>
            <c:numRef>
              <c:f>'Figure 3.7'!$E$24:$I$24</c:f>
              <c:numCache>
                <c:formatCode>General</c:formatCode>
                <c:ptCount val="5"/>
                <c:pt idx="0">
                  <c:v>2016</c:v>
                </c:pt>
                <c:pt idx="1">
                  <c:v>2017</c:v>
                </c:pt>
                <c:pt idx="2">
                  <c:v>2018</c:v>
                </c:pt>
                <c:pt idx="3">
                  <c:v>2019</c:v>
                </c:pt>
                <c:pt idx="4">
                  <c:v>2020</c:v>
                </c:pt>
              </c:numCache>
            </c:numRef>
          </c:cat>
          <c:val>
            <c:numRef>
              <c:f>'Figure 3.7'!$E$26:$I$26</c:f>
              <c:numCache>
                <c:formatCode>_(* #,##0_);_(* \(#,##0\);_(* "-"??_);_(@_)</c:formatCode>
                <c:ptCount val="5"/>
                <c:pt idx="0">
                  <c:v>5563</c:v>
                </c:pt>
                <c:pt idx="1">
                  <c:v>5560</c:v>
                </c:pt>
                <c:pt idx="2">
                  <c:v>3187</c:v>
                </c:pt>
                <c:pt idx="3">
                  <c:v>2289</c:v>
                </c:pt>
                <c:pt idx="4">
                  <c:v>7619</c:v>
                </c:pt>
              </c:numCache>
            </c:numRef>
          </c:val>
          <c:extLst>
            <c:ext xmlns:c16="http://schemas.microsoft.com/office/drawing/2014/chart" uri="{C3380CC4-5D6E-409C-BE32-E72D297353CC}">
              <c16:uniqueId val="{00000001-2D46-43BF-82C5-8675BD2137C0}"/>
            </c:ext>
          </c:extLst>
        </c:ser>
        <c:ser>
          <c:idx val="2"/>
          <c:order val="2"/>
          <c:tx>
            <c:strRef>
              <c:f>'Figure 3.7'!$D$27</c:f>
              <c:strCache>
                <c:ptCount val="1"/>
                <c:pt idx="0">
                  <c:v>Mobile</c:v>
                </c:pt>
              </c:strCache>
            </c:strRef>
          </c:tx>
          <c:spPr>
            <a:solidFill>
              <a:srgbClr val="2CB34A"/>
            </a:solidFill>
            <a:ln>
              <a:noFill/>
            </a:ln>
            <a:effectLst/>
          </c:spPr>
          <c:invertIfNegative val="0"/>
          <c:cat>
            <c:numRef>
              <c:f>'Figure 3.7'!$E$24:$I$24</c:f>
              <c:numCache>
                <c:formatCode>General</c:formatCode>
                <c:ptCount val="5"/>
                <c:pt idx="0">
                  <c:v>2016</c:v>
                </c:pt>
                <c:pt idx="1">
                  <c:v>2017</c:v>
                </c:pt>
                <c:pt idx="2">
                  <c:v>2018</c:v>
                </c:pt>
                <c:pt idx="3">
                  <c:v>2019</c:v>
                </c:pt>
                <c:pt idx="4">
                  <c:v>2020</c:v>
                </c:pt>
              </c:numCache>
            </c:numRef>
          </c:cat>
          <c:val>
            <c:numRef>
              <c:f>'Figure 3.7'!$E$27:$I$27</c:f>
              <c:numCache>
                <c:formatCode>_(* #,##0_);_(* \(#,##0\);_(* "-"??_);_(@_)</c:formatCode>
                <c:ptCount val="5"/>
                <c:pt idx="0">
                  <c:v>2745</c:v>
                </c:pt>
                <c:pt idx="1">
                  <c:v>3227</c:v>
                </c:pt>
                <c:pt idx="2">
                  <c:v>4702</c:v>
                </c:pt>
                <c:pt idx="3">
                  <c:v>3602</c:v>
                </c:pt>
                <c:pt idx="4">
                  <c:v>455</c:v>
                </c:pt>
              </c:numCache>
            </c:numRef>
          </c:val>
          <c:extLst>
            <c:ext xmlns:c16="http://schemas.microsoft.com/office/drawing/2014/chart" uri="{C3380CC4-5D6E-409C-BE32-E72D297353CC}">
              <c16:uniqueId val="{00000002-2D46-43BF-82C5-8675BD2137C0}"/>
            </c:ext>
          </c:extLst>
        </c:ser>
        <c:ser>
          <c:idx val="3"/>
          <c:order val="3"/>
          <c:tx>
            <c:strRef>
              <c:f>'Figure 3.7'!$D$28</c:f>
              <c:strCache>
                <c:ptCount val="1"/>
                <c:pt idx="0">
                  <c:v>Workshops</c:v>
                </c:pt>
              </c:strCache>
            </c:strRef>
          </c:tx>
          <c:spPr>
            <a:solidFill>
              <a:srgbClr val="F58021"/>
            </a:solidFill>
            <a:ln>
              <a:noFill/>
            </a:ln>
            <a:effectLst/>
          </c:spPr>
          <c:invertIfNegative val="0"/>
          <c:cat>
            <c:numRef>
              <c:f>'Figure 3.7'!$E$24:$I$24</c:f>
              <c:numCache>
                <c:formatCode>General</c:formatCode>
                <c:ptCount val="5"/>
                <c:pt idx="0">
                  <c:v>2016</c:v>
                </c:pt>
                <c:pt idx="1">
                  <c:v>2017</c:v>
                </c:pt>
                <c:pt idx="2">
                  <c:v>2018</c:v>
                </c:pt>
                <c:pt idx="3">
                  <c:v>2019</c:v>
                </c:pt>
                <c:pt idx="4">
                  <c:v>2020</c:v>
                </c:pt>
              </c:numCache>
            </c:numRef>
          </c:cat>
          <c:val>
            <c:numRef>
              <c:f>'Figure 3.7'!$E$28:$I$28</c:f>
              <c:numCache>
                <c:formatCode>_(* #,##0_);_(* \(#,##0\);_(* "-"??_);_(@_)</c:formatCode>
                <c:ptCount val="5"/>
                <c:pt idx="0">
                  <c:v>619</c:v>
                </c:pt>
                <c:pt idx="1">
                  <c:v>1031</c:v>
                </c:pt>
                <c:pt idx="2">
                  <c:v>986</c:v>
                </c:pt>
                <c:pt idx="3">
                  <c:v>1401</c:v>
                </c:pt>
                <c:pt idx="4">
                  <c:v>224</c:v>
                </c:pt>
              </c:numCache>
            </c:numRef>
          </c:val>
          <c:extLst>
            <c:ext xmlns:c16="http://schemas.microsoft.com/office/drawing/2014/chart" uri="{C3380CC4-5D6E-409C-BE32-E72D297353CC}">
              <c16:uniqueId val="{00000003-2D46-43BF-82C5-8675BD2137C0}"/>
            </c:ext>
          </c:extLst>
        </c:ser>
        <c:dLbls>
          <c:showLegendKey val="0"/>
          <c:showVal val="0"/>
          <c:showCatName val="0"/>
          <c:showSerName val="0"/>
          <c:showPercent val="0"/>
          <c:showBubbleSize val="0"/>
        </c:dLbls>
        <c:gapWidth val="95"/>
        <c:overlap val="100"/>
        <c:axId val="1840476863"/>
        <c:axId val="1844896799"/>
      </c:barChart>
      <c:catAx>
        <c:axId val="184047686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4896799"/>
        <c:crosses val="autoZero"/>
        <c:auto val="1"/>
        <c:lblAlgn val="ctr"/>
        <c:lblOffset val="100"/>
        <c:noMultiLvlLbl val="0"/>
      </c:catAx>
      <c:valAx>
        <c:axId val="184489679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Impressions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0476863"/>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Diversity, Small Business and Community Utilization </a:t>
            </a:r>
            <a:r>
              <a:rPr lang="en-US" sz="1200" baseline="0"/>
              <a:t>%</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hade val="65000"/>
              </a:schemeClr>
            </a:solidFill>
            <a:ln>
              <a:noFill/>
            </a:ln>
            <a:effectLst/>
          </c:spPr>
          <c:invertIfNegative val="0"/>
          <c:val>
            <c:numRef>
              <c:f>'Figure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3.6'!#REF!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3.6'!#REF!</c15:sqref>
                        </c15:formulaRef>
                      </c:ext>
                    </c:extLst>
                  </c:multiLvlStrRef>
                </c15:cat>
              </c15:filteredCategoryTitle>
            </c:ext>
            <c:ext xmlns:c16="http://schemas.microsoft.com/office/drawing/2014/chart" uri="{C3380CC4-5D6E-409C-BE32-E72D297353CC}">
              <c16:uniqueId val="{00000000-CE8D-4C41-85CE-4DB5564CFCE8}"/>
            </c:ext>
          </c:extLst>
        </c:ser>
        <c:ser>
          <c:idx val="1"/>
          <c:order val="1"/>
          <c:spPr>
            <a:solidFill>
              <a:schemeClr val="accent1"/>
            </a:solidFill>
            <a:ln>
              <a:noFill/>
            </a:ln>
            <a:effectLst/>
          </c:spPr>
          <c:invertIfNegative val="0"/>
          <c:val>
            <c:numRef>
              <c:f>'Figure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3.6'!#REF!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3.6'!#REF!</c15:sqref>
                        </c15:formulaRef>
                      </c:ext>
                    </c:extLst>
                  </c:multiLvlStrRef>
                </c15:cat>
              </c15:filteredCategoryTitle>
            </c:ext>
            <c:ext xmlns:c16="http://schemas.microsoft.com/office/drawing/2014/chart" uri="{C3380CC4-5D6E-409C-BE32-E72D297353CC}">
              <c16:uniqueId val="{00000001-CE8D-4C41-85CE-4DB5564CFCE8}"/>
            </c:ext>
          </c:extLst>
        </c:ser>
        <c:ser>
          <c:idx val="2"/>
          <c:order val="2"/>
          <c:spPr>
            <a:solidFill>
              <a:schemeClr val="accent1">
                <a:tint val="65000"/>
              </a:schemeClr>
            </a:solidFill>
            <a:ln>
              <a:noFill/>
            </a:ln>
            <a:effectLst/>
          </c:spPr>
          <c:invertIfNegative val="0"/>
          <c:val>
            <c:numRef>
              <c:f>'Figure 3.6'!#REF!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'Figure 3.6'!#REF!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3.6'!#REF!</c15:sqref>
                        </c15:formulaRef>
                      </c:ext>
                    </c:extLst>
                  </c:multiLvlStrRef>
                </c15:cat>
              </c15:filteredCategoryTitle>
            </c:ext>
            <c:ext xmlns:c16="http://schemas.microsoft.com/office/drawing/2014/chart" uri="{C3380CC4-5D6E-409C-BE32-E72D297353CC}">
              <c16:uniqueId val="{00000002-CE8D-4C41-85CE-4DB5564CFCE8}"/>
            </c:ext>
          </c:extLst>
        </c:ser>
        <c:dLbls>
          <c:showLegendKey val="0"/>
          <c:showVal val="0"/>
          <c:showCatName val="0"/>
          <c:showSerName val="0"/>
          <c:showPercent val="0"/>
          <c:showBubbleSize val="0"/>
        </c:dLbls>
        <c:gapWidth val="219"/>
        <c:overlap val="-27"/>
        <c:axId val="1766079200"/>
        <c:axId val="1566794896"/>
      </c:barChart>
      <c:catAx>
        <c:axId val="176607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6794896"/>
        <c:crosses val="autoZero"/>
        <c:auto val="1"/>
        <c:lblAlgn val="ctr"/>
        <c:lblOffset val="100"/>
        <c:noMultiLvlLbl val="0"/>
      </c:catAx>
      <c:valAx>
        <c:axId val="1566794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07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7527559055119"/>
          <c:y val="2.4706814695254507E-2"/>
          <c:w val="0.84007580052493436"/>
          <c:h val="0.88647491204556872"/>
        </c:manualLayout>
      </c:layout>
      <c:barChart>
        <c:barDir val="col"/>
        <c:grouping val="stacked"/>
        <c:varyColors val="0"/>
        <c:ser>
          <c:idx val="0"/>
          <c:order val="0"/>
          <c:tx>
            <c:strRef>
              <c:f>'Figure 3.8'!$G$34</c:f>
              <c:strCache>
                <c:ptCount val="1"/>
                <c:pt idx="0">
                  <c:v>Renewable Energy</c:v>
                </c:pt>
              </c:strCache>
            </c:strRef>
          </c:tx>
          <c:spPr>
            <a:solidFill>
              <a:srgbClr val="0076BE"/>
            </a:solidFill>
            <a:ln>
              <a:noFill/>
            </a:ln>
            <a:effectLst/>
          </c:spPr>
          <c:invertIfNegative val="0"/>
          <c:dLbls>
            <c:delete val="1"/>
          </c:dLbls>
          <c:cat>
            <c:numRef>
              <c:f>'Figure 3.8'!$H$5:$L$5</c:f>
              <c:numCache>
                <c:formatCode>General</c:formatCode>
                <c:ptCount val="5"/>
                <c:pt idx="0">
                  <c:v>2016</c:v>
                </c:pt>
                <c:pt idx="1">
                  <c:v>2017</c:v>
                </c:pt>
                <c:pt idx="2">
                  <c:v>2018</c:v>
                </c:pt>
                <c:pt idx="3">
                  <c:v>2019</c:v>
                </c:pt>
                <c:pt idx="4">
                  <c:v>2020</c:v>
                </c:pt>
              </c:numCache>
            </c:numRef>
          </c:cat>
          <c:val>
            <c:numRef>
              <c:f>'Figure 3.8'!$H$34:$L$34</c:f>
              <c:numCache>
                <c:formatCode>0.0%</c:formatCode>
                <c:ptCount val="5"/>
                <c:pt idx="0">
                  <c:v>0.10015988254937558</c:v>
                </c:pt>
                <c:pt idx="1">
                  <c:v>9.0159299114420291E-2</c:v>
                </c:pt>
                <c:pt idx="2">
                  <c:v>9.7727266298164514E-2</c:v>
                </c:pt>
                <c:pt idx="3">
                  <c:v>9.9662541727672541E-2</c:v>
                </c:pt>
                <c:pt idx="4">
                  <c:v>0.10690210252652728</c:v>
                </c:pt>
              </c:numCache>
            </c:numRef>
          </c:val>
          <c:extLst>
            <c:ext xmlns:c16="http://schemas.microsoft.com/office/drawing/2014/chart" uri="{C3380CC4-5D6E-409C-BE32-E72D297353CC}">
              <c16:uniqueId val="{00000005-401C-412C-A592-980315398ADE}"/>
            </c:ext>
          </c:extLst>
        </c:ser>
        <c:ser>
          <c:idx val="1"/>
          <c:order val="1"/>
          <c:tx>
            <c:strRef>
              <c:f>'Figure 3.8'!$G$35</c:f>
              <c:strCache>
                <c:ptCount val="1"/>
                <c:pt idx="0">
                  <c:v>Energy Efficiency</c:v>
                </c:pt>
              </c:strCache>
            </c:strRef>
          </c:tx>
          <c:spPr>
            <a:solidFill>
              <a:srgbClr val="C4D82E"/>
            </a:solidFill>
            <a:ln>
              <a:noFill/>
            </a:ln>
            <a:effectLst/>
          </c:spPr>
          <c:invertIfNegative val="0"/>
          <c:dLbls>
            <c:delete val="1"/>
          </c:dLbls>
          <c:cat>
            <c:numRef>
              <c:f>'Figure 3.8'!$H$5:$L$5</c:f>
              <c:numCache>
                <c:formatCode>General</c:formatCode>
                <c:ptCount val="5"/>
                <c:pt idx="0">
                  <c:v>2016</c:v>
                </c:pt>
                <c:pt idx="1">
                  <c:v>2017</c:v>
                </c:pt>
                <c:pt idx="2">
                  <c:v>2018</c:v>
                </c:pt>
                <c:pt idx="3">
                  <c:v>2019</c:v>
                </c:pt>
                <c:pt idx="4">
                  <c:v>2020</c:v>
                </c:pt>
              </c:numCache>
            </c:numRef>
          </c:cat>
          <c:val>
            <c:numRef>
              <c:f>'Figure 3.8'!$H$35:$L$35</c:f>
              <c:numCache>
                <c:formatCode>0.0%</c:formatCode>
                <c:ptCount val="5"/>
                <c:pt idx="0">
                  <c:v>5.4329687714897213E-4</c:v>
                </c:pt>
                <c:pt idx="1">
                  <c:v>1.6145117696270068E-3</c:v>
                </c:pt>
                <c:pt idx="2">
                  <c:v>2.5069503397931931E-3</c:v>
                </c:pt>
                <c:pt idx="3">
                  <c:v>2.8662729651953295E-3</c:v>
                </c:pt>
                <c:pt idx="4">
                  <c:v>3.0689276490824115E-3</c:v>
                </c:pt>
              </c:numCache>
            </c:numRef>
          </c:val>
          <c:extLst>
            <c:ext xmlns:c16="http://schemas.microsoft.com/office/drawing/2014/chart" uri="{C3380CC4-5D6E-409C-BE32-E72D297353CC}">
              <c16:uniqueId val="{00000006-401C-412C-A592-980315398ADE}"/>
            </c:ext>
          </c:extLst>
        </c:ser>
        <c:dLbls>
          <c:showLegendKey val="0"/>
          <c:showVal val="1"/>
          <c:showCatName val="0"/>
          <c:showSerName val="0"/>
          <c:showPercent val="0"/>
          <c:showBubbleSize val="0"/>
        </c:dLbls>
        <c:gapWidth val="219"/>
        <c:overlap val="100"/>
        <c:axId val="1128908863"/>
        <c:axId val="2007209279"/>
      </c:barChart>
      <c:catAx>
        <c:axId val="112890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7209279"/>
        <c:crosses val="autoZero"/>
        <c:auto val="1"/>
        <c:lblAlgn val="ctr"/>
        <c:lblOffset val="100"/>
        <c:noMultiLvlLbl val="0"/>
      </c:catAx>
      <c:valAx>
        <c:axId val="2007209279"/>
        <c:scaling>
          <c:orientation val="minMax"/>
          <c:max val="0.15000000000000002"/>
          <c:min val="0"/>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Percent of Retail Sales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a:glow rad="127000">
              <a:schemeClr val="accent1">
                <a:alpha val="98000"/>
              </a:schemeClr>
            </a:glow>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8908863"/>
        <c:crosses val="autoZero"/>
        <c:crossBetween val="between"/>
        <c:majorUnit val="5.000000000000001E-2"/>
      </c:valAx>
      <c:spPr>
        <a:noFill/>
        <a:ln>
          <a:solidFill>
            <a:schemeClr val="tx1"/>
          </a:solidFill>
        </a:ln>
        <a:effectLst/>
      </c:spPr>
    </c:plotArea>
    <c:legend>
      <c:legendPos val="b"/>
      <c:layout>
        <c:manualLayout>
          <c:xMode val="edge"/>
          <c:yMode val="edge"/>
          <c:x val="0.15223979002624674"/>
          <c:y val="6.3013854542820782E-2"/>
          <c:w val="0.26913427821522312"/>
          <c:h val="0.12171131368105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81444136029758"/>
          <c:y val="5.3045348498104411E-2"/>
          <c:w val="0.83423308597216717"/>
          <c:h val="0.85445027704870224"/>
        </c:manualLayout>
      </c:layout>
      <c:barChart>
        <c:barDir val="col"/>
        <c:grouping val="clustered"/>
        <c:varyColors val="0"/>
        <c:ser>
          <c:idx val="0"/>
          <c:order val="0"/>
          <c:tx>
            <c:strRef>
              <c:f>'Figure 3.9'!$H$194</c:f>
              <c:strCache>
                <c:ptCount val="1"/>
                <c:pt idx="0">
                  <c:v>Named Communities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3.9'!$I$193:$M$193</c:f>
              <c:numCache>
                <c:formatCode>General</c:formatCode>
                <c:ptCount val="5"/>
                <c:pt idx="0">
                  <c:v>2016</c:v>
                </c:pt>
                <c:pt idx="1">
                  <c:v>2017</c:v>
                </c:pt>
                <c:pt idx="2">
                  <c:v>2018</c:v>
                </c:pt>
                <c:pt idx="3">
                  <c:v>2019</c:v>
                </c:pt>
                <c:pt idx="4">
                  <c:v>2020</c:v>
                </c:pt>
              </c:numCache>
            </c:numRef>
          </c:cat>
          <c:val>
            <c:numRef>
              <c:f>'Figure 3.9'!$I$203:$M$203</c:f>
              <c:numCache>
                <c:formatCode>_(* #,##0_);_(* \(#,##0\);_(* "-"??_);_(@_)</c:formatCode>
                <c:ptCount val="5"/>
                <c:pt idx="0">
                  <c:v>31.253124728416736</c:v>
                </c:pt>
                <c:pt idx="1">
                  <c:v>10.401433443313095</c:v>
                </c:pt>
                <c:pt idx="2">
                  <c:v>12.098425301906133</c:v>
                </c:pt>
                <c:pt idx="3">
                  <c:v>-5.5160960372611214</c:v>
                </c:pt>
                <c:pt idx="4">
                  <c:v>5.2438145402572331</c:v>
                </c:pt>
              </c:numCache>
            </c:numRef>
          </c:val>
          <c:extLst>
            <c:ext xmlns:c16="http://schemas.microsoft.com/office/drawing/2014/chart" uri="{C3380CC4-5D6E-409C-BE32-E72D297353CC}">
              <c16:uniqueId val="{00000000-2DF2-4F0E-8056-0A02C712D689}"/>
            </c:ext>
          </c:extLst>
        </c:ser>
        <c:dLbls>
          <c:showLegendKey val="0"/>
          <c:showVal val="0"/>
          <c:showCatName val="0"/>
          <c:showSerName val="0"/>
          <c:showPercent val="0"/>
          <c:showBubbleSize val="0"/>
        </c:dLbls>
        <c:gapWidth val="219"/>
        <c:overlap val="-27"/>
        <c:axId val="1293889551"/>
        <c:axId val="1314087711"/>
      </c:barChart>
      <c:catAx>
        <c:axId val="129388955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14087711"/>
        <c:crosses val="autoZero"/>
        <c:auto val="1"/>
        <c:lblAlgn val="ctr"/>
        <c:lblOffset val="100"/>
        <c:noMultiLvlLbl val="0"/>
      </c:catAx>
      <c:valAx>
        <c:axId val="1314087711"/>
        <c:scaling>
          <c:orientation val="minMax"/>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t>Average Outage Minutes</a:t>
                </a:r>
              </a:p>
            </c:rich>
          </c:tx>
          <c:layout>
            <c:manualLayout>
              <c:xMode val="edge"/>
              <c:yMode val="edge"/>
              <c:x val="2.131124234470691E-2"/>
              <c:y val="0.1376622193059201"/>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3889551"/>
        <c:crosses val="autoZero"/>
        <c:crossBetween val="between"/>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559637</xdr:colOff>
      <xdr:row>15</xdr:row>
      <xdr:rowOff>39085</xdr:rowOff>
    </xdr:to>
    <xdr:pic>
      <xdr:nvPicPr>
        <xdr:cNvPr id="4" name="Picture 3">
          <a:extLst>
            <a:ext uri="{FF2B5EF4-FFF2-40B4-BE49-F238E27FC236}">
              <a16:creationId xmlns:a16="http://schemas.microsoft.com/office/drawing/2014/main" id="{35E97B6A-2718-485C-B773-6E95D3ED8977}"/>
            </a:ext>
          </a:extLst>
        </xdr:cNvPr>
        <xdr:cNvPicPr>
          <a:picLocks noChangeAspect="1"/>
        </xdr:cNvPicPr>
      </xdr:nvPicPr>
      <xdr:blipFill>
        <a:blip xmlns:r="http://schemas.openxmlformats.org/officeDocument/2006/relationships" r:embed="rId1"/>
        <a:stretch>
          <a:fillRect/>
        </a:stretch>
      </xdr:blipFill>
      <xdr:spPr>
        <a:xfrm>
          <a:off x="647700" y="180975"/>
          <a:ext cx="3798137" cy="25727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207</xdr:row>
      <xdr:rowOff>133349</xdr:rowOff>
    </xdr:from>
    <xdr:to>
      <xdr:col>15</xdr:col>
      <xdr:colOff>19050</xdr:colOff>
      <xdr:row>225</xdr:row>
      <xdr:rowOff>85724</xdr:rowOff>
    </xdr:to>
    <xdr:graphicFrame macro="">
      <xdr:nvGraphicFramePr>
        <xdr:cNvPr id="2" name="Chart 1">
          <a:extLst>
            <a:ext uri="{FF2B5EF4-FFF2-40B4-BE49-F238E27FC236}">
              <a16:creationId xmlns:a16="http://schemas.microsoft.com/office/drawing/2014/main" id="{1E149E99-8636-47E2-9A94-729B3DD68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204</xdr:row>
      <xdr:rowOff>133350</xdr:rowOff>
    </xdr:from>
    <xdr:to>
      <xdr:col>7</xdr:col>
      <xdr:colOff>1028700</xdr:colOff>
      <xdr:row>210</xdr:row>
      <xdr:rowOff>85726</xdr:rowOff>
    </xdr:to>
    <xdr:sp macro="" textlink="">
      <xdr:nvSpPr>
        <xdr:cNvPr id="3" name="Rectangle 2">
          <a:extLst>
            <a:ext uri="{FF2B5EF4-FFF2-40B4-BE49-F238E27FC236}">
              <a16:creationId xmlns:a16="http://schemas.microsoft.com/office/drawing/2014/main" id="{DBC892EA-99B3-4669-9EE3-506E86D25604}"/>
            </a:ext>
          </a:extLst>
        </xdr:cNvPr>
        <xdr:cNvSpPr/>
      </xdr:nvSpPr>
      <xdr:spPr>
        <a:xfrm>
          <a:off x="3924300" y="14916150"/>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 Outage Duration.xlsxin Appendix E </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15</xdr:col>
      <xdr:colOff>571500</xdr:colOff>
      <xdr:row>11</xdr:row>
      <xdr:rowOff>76200</xdr:rowOff>
    </xdr:from>
    <xdr:ext cx="3476625" cy="609013"/>
    <xdr:sp macro="" textlink="">
      <xdr:nvSpPr>
        <xdr:cNvPr id="2" name="TextBox 1">
          <a:extLst>
            <a:ext uri="{FF2B5EF4-FFF2-40B4-BE49-F238E27FC236}">
              <a16:creationId xmlns:a16="http://schemas.microsoft.com/office/drawing/2014/main" id="{474DB1D7-1960-4881-91E9-5BD62C7C7D83}"/>
            </a:ext>
          </a:extLst>
        </xdr:cNvPr>
        <xdr:cNvSpPr txBox="1"/>
      </xdr:nvSpPr>
      <xdr:spPr>
        <a:xfrm>
          <a:off x="12630150" y="1857375"/>
          <a:ext cx="3476625" cy="60901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Clear</a:t>
          </a:r>
          <a:r>
            <a:rPr lang="en-US" sz="1100" baseline="0"/>
            <a:t>water paper in Lewiston, ID is a large load with a large PURPA generator from June 2013 to March 2019, the generator netted against its load</a:t>
          </a:r>
          <a:endParaRPr lang="en-US" sz="1100"/>
        </a:p>
      </xdr:txBody>
    </xdr:sp>
    <xdr:clientData/>
  </xdr:oneCellAnchor>
  <xdr:twoCellAnchor>
    <xdr:from>
      <xdr:col>14</xdr:col>
      <xdr:colOff>523874</xdr:colOff>
      <xdr:row>17</xdr:row>
      <xdr:rowOff>80961</xdr:rowOff>
    </xdr:from>
    <xdr:to>
      <xdr:col>25</xdr:col>
      <xdr:colOff>228599</xdr:colOff>
      <xdr:row>42</xdr:row>
      <xdr:rowOff>9524</xdr:rowOff>
    </xdr:to>
    <xdr:graphicFrame macro="">
      <xdr:nvGraphicFramePr>
        <xdr:cNvPr id="3" name="Chart 2">
          <a:extLst>
            <a:ext uri="{FF2B5EF4-FFF2-40B4-BE49-F238E27FC236}">
              <a16:creationId xmlns:a16="http://schemas.microsoft.com/office/drawing/2014/main" id="{522AA078-6A6F-4B2B-8767-7FE523D76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4</xdr:row>
      <xdr:rowOff>9525</xdr:rowOff>
    </xdr:from>
    <xdr:to>
      <xdr:col>20</xdr:col>
      <xdr:colOff>76200</xdr:colOff>
      <xdr:row>9</xdr:row>
      <xdr:rowOff>123826</xdr:rowOff>
    </xdr:to>
    <xdr:sp macro="" textlink="">
      <xdr:nvSpPr>
        <xdr:cNvPr id="5" name="Rectangle 4">
          <a:extLst>
            <a:ext uri="{FF2B5EF4-FFF2-40B4-BE49-F238E27FC236}">
              <a16:creationId xmlns:a16="http://schemas.microsoft.com/office/drawing/2014/main" id="{745CDE14-EC1B-4EDF-8F73-24F06C6060B8}"/>
            </a:ext>
          </a:extLst>
        </xdr:cNvPr>
        <xdr:cNvSpPr/>
      </xdr:nvSpPr>
      <xdr:spPr>
        <a:xfrm>
          <a:off x="12696825" y="657225"/>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CBI-Resource Adequacy.xlsx in Appendix E </a:t>
          </a: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255270</xdr:colOff>
      <xdr:row>6</xdr:row>
      <xdr:rowOff>40005</xdr:rowOff>
    </xdr:from>
    <xdr:to>
      <xdr:col>21</xdr:col>
      <xdr:colOff>85725</xdr:colOff>
      <xdr:row>21</xdr:row>
      <xdr:rowOff>142875</xdr:rowOff>
    </xdr:to>
    <xdr:graphicFrame macro="">
      <xdr:nvGraphicFramePr>
        <xdr:cNvPr id="2" name="Chart 1">
          <a:extLst>
            <a:ext uri="{FF2B5EF4-FFF2-40B4-BE49-F238E27FC236}">
              <a16:creationId xmlns:a16="http://schemas.microsoft.com/office/drawing/2014/main" id="{92F0C187-B46F-416C-B3F9-C6A445592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24</xdr:row>
      <xdr:rowOff>0</xdr:rowOff>
    </xdr:from>
    <xdr:to>
      <xdr:col>18</xdr:col>
      <xdr:colOff>47625</xdr:colOff>
      <xdr:row>28</xdr:row>
      <xdr:rowOff>161926</xdr:rowOff>
    </xdr:to>
    <xdr:sp macro="" textlink="">
      <xdr:nvSpPr>
        <xdr:cNvPr id="3" name="Rectangle 2">
          <a:extLst>
            <a:ext uri="{FF2B5EF4-FFF2-40B4-BE49-F238E27FC236}">
              <a16:creationId xmlns:a16="http://schemas.microsoft.com/office/drawing/2014/main" id="{14A17DBB-E9B8-4BEB-8BC1-EC55D712D507}"/>
            </a:ext>
          </a:extLst>
        </xdr:cNvPr>
        <xdr:cNvSpPr/>
      </xdr:nvSpPr>
      <xdr:spPr>
        <a:xfrm>
          <a:off x="10039350" y="4572000"/>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 Generation Location.xlsx in Appendix 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361949</xdr:colOff>
      <xdr:row>36</xdr:row>
      <xdr:rowOff>80962</xdr:rowOff>
    </xdr:from>
    <xdr:to>
      <xdr:col>10</xdr:col>
      <xdr:colOff>180974</xdr:colOff>
      <xdr:row>55</xdr:row>
      <xdr:rowOff>9525</xdr:rowOff>
    </xdr:to>
    <xdr:graphicFrame macro="">
      <xdr:nvGraphicFramePr>
        <xdr:cNvPr id="2" name="Chart 1">
          <a:extLst>
            <a:ext uri="{FF2B5EF4-FFF2-40B4-BE49-F238E27FC236}">
              <a16:creationId xmlns:a16="http://schemas.microsoft.com/office/drawing/2014/main" id="{7575BD7B-6023-48BA-814E-CF79B9B54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29</xdr:row>
      <xdr:rowOff>0</xdr:rowOff>
    </xdr:from>
    <xdr:to>
      <xdr:col>14</xdr:col>
      <xdr:colOff>457200</xdr:colOff>
      <xdr:row>34</xdr:row>
      <xdr:rowOff>114301</xdr:rowOff>
    </xdr:to>
    <xdr:sp macro="" textlink="">
      <xdr:nvSpPr>
        <xdr:cNvPr id="3" name="Rectangle 2">
          <a:extLst>
            <a:ext uri="{FF2B5EF4-FFF2-40B4-BE49-F238E27FC236}">
              <a16:creationId xmlns:a16="http://schemas.microsoft.com/office/drawing/2014/main" id="{1BF0BB88-C088-4BDF-8DCA-0A5C61206A56}"/>
            </a:ext>
          </a:extLst>
        </xdr:cNvPr>
        <xdr:cNvSpPr/>
      </xdr:nvSpPr>
      <xdr:spPr>
        <a:xfrm>
          <a:off x="7439025" y="5343525"/>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 Outdoor Air Quality.xlsx in Appendix E </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5953</xdr:colOff>
      <xdr:row>4</xdr:row>
      <xdr:rowOff>86915</xdr:rowOff>
    </xdr:from>
    <xdr:to>
      <xdr:col>18</xdr:col>
      <xdr:colOff>327421</xdr:colOff>
      <xdr:row>19</xdr:row>
      <xdr:rowOff>103584</xdr:rowOff>
    </xdr:to>
    <xdr:graphicFrame macro="">
      <xdr:nvGraphicFramePr>
        <xdr:cNvPr id="2" name="Chart 1">
          <a:extLst>
            <a:ext uri="{FF2B5EF4-FFF2-40B4-BE49-F238E27FC236}">
              <a16:creationId xmlns:a16="http://schemas.microsoft.com/office/drawing/2014/main" id="{66785665-F0E1-4641-899F-2216E5B2F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595311</xdr:colOff>
      <xdr:row>19</xdr:row>
      <xdr:rowOff>71438</xdr:rowOff>
    </xdr:from>
    <xdr:to>
      <xdr:col>18</xdr:col>
      <xdr:colOff>309561</xdr:colOff>
      <xdr:row>34</xdr:row>
      <xdr:rowOff>88106</xdr:rowOff>
    </xdr:to>
    <xdr:graphicFrame macro="">
      <xdr:nvGraphicFramePr>
        <xdr:cNvPr id="3" name="Chart 2">
          <a:extLst>
            <a:ext uri="{FF2B5EF4-FFF2-40B4-BE49-F238E27FC236}">
              <a16:creationId xmlns:a16="http://schemas.microsoft.com/office/drawing/2014/main" id="{55EAB78A-7C41-432A-9862-1B49F0119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214312</xdr:colOff>
      <xdr:row>4</xdr:row>
      <xdr:rowOff>95250</xdr:rowOff>
    </xdr:from>
    <xdr:to>
      <xdr:col>25</xdr:col>
      <xdr:colOff>535781</xdr:colOff>
      <xdr:row>19</xdr:row>
      <xdr:rowOff>111919</xdr:rowOff>
    </xdr:to>
    <xdr:graphicFrame macro="">
      <xdr:nvGraphicFramePr>
        <xdr:cNvPr id="4" name="Chart 3">
          <a:extLst>
            <a:ext uri="{FF2B5EF4-FFF2-40B4-BE49-F238E27FC236}">
              <a16:creationId xmlns:a16="http://schemas.microsoft.com/office/drawing/2014/main" id="{180DEDF9-7BE5-41CB-933C-AAD76AB81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226218</xdr:colOff>
      <xdr:row>19</xdr:row>
      <xdr:rowOff>23813</xdr:rowOff>
    </xdr:from>
    <xdr:to>
      <xdr:col>25</xdr:col>
      <xdr:colOff>547687</xdr:colOff>
      <xdr:row>34</xdr:row>
      <xdr:rowOff>40481</xdr:rowOff>
    </xdr:to>
    <xdr:graphicFrame macro="">
      <xdr:nvGraphicFramePr>
        <xdr:cNvPr id="5" name="Chart 4">
          <a:extLst>
            <a:ext uri="{FF2B5EF4-FFF2-40B4-BE49-F238E27FC236}">
              <a16:creationId xmlns:a16="http://schemas.microsoft.com/office/drawing/2014/main" id="{D7106858-6E4C-4247-B65C-91E26D52D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46</xdr:row>
      <xdr:rowOff>0</xdr:rowOff>
    </xdr:from>
    <xdr:to>
      <xdr:col>14</xdr:col>
      <xdr:colOff>57150</xdr:colOff>
      <xdr:row>51</xdr:row>
      <xdr:rowOff>30958</xdr:rowOff>
    </xdr:to>
    <xdr:sp macro="" textlink="">
      <xdr:nvSpPr>
        <xdr:cNvPr id="6" name="Rectangle 5">
          <a:extLst>
            <a:ext uri="{FF2B5EF4-FFF2-40B4-BE49-F238E27FC236}">
              <a16:creationId xmlns:a16="http://schemas.microsoft.com/office/drawing/2014/main" id="{ECEEF523-12EB-4A89-B519-C2FC6E99B79E}"/>
            </a:ext>
          </a:extLst>
        </xdr:cNvPr>
        <xdr:cNvSpPr/>
      </xdr:nvSpPr>
      <xdr:spPr>
        <a:xfrm>
          <a:off x="9072563" y="8405813"/>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 Avista Air Emissions.xlsx in Appendix E </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142875</xdr:colOff>
      <xdr:row>2</xdr:row>
      <xdr:rowOff>142875</xdr:rowOff>
    </xdr:from>
    <xdr:to>
      <xdr:col>17</xdr:col>
      <xdr:colOff>590550</xdr:colOff>
      <xdr:row>24</xdr:row>
      <xdr:rowOff>28576</xdr:rowOff>
    </xdr:to>
    <xdr:graphicFrame macro="">
      <xdr:nvGraphicFramePr>
        <xdr:cNvPr id="2" name="Chart 1">
          <a:extLst>
            <a:ext uri="{FF2B5EF4-FFF2-40B4-BE49-F238E27FC236}">
              <a16:creationId xmlns:a16="http://schemas.microsoft.com/office/drawing/2014/main" id="{F15AD4D8-AE41-48FE-AFF6-A9126C8E5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523875</xdr:colOff>
      <xdr:row>13</xdr:row>
      <xdr:rowOff>161925</xdr:rowOff>
    </xdr:from>
    <xdr:to>
      <xdr:col>16</xdr:col>
      <xdr:colOff>571500</xdr:colOff>
      <xdr:row>30</xdr:row>
      <xdr:rowOff>104776</xdr:rowOff>
    </xdr:to>
    <xdr:graphicFrame macro="">
      <xdr:nvGraphicFramePr>
        <xdr:cNvPr id="2" name="Chart 1">
          <a:extLst>
            <a:ext uri="{FF2B5EF4-FFF2-40B4-BE49-F238E27FC236}">
              <a16:creationId xmlns:a16="http://schemas.microsoft.com/office/drawing/2014/main" id="{2D657B1B-1B86-4513-96BC-00EB296C7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600074</xdr:colOff>
      <xdr:row>3</xdr:row>
      <xdr:rowOff>166688</xdr:rowOff>
    </xdr:from>
    <xdr:to>
      <xdr:col>16</xdr:col>
      <xdr:colOff>95249</xdr:colOff>
      <xdr:row>21</xdr:row>
      <xdr:rowOff>123826</xdr:rowOff>
    </xdr:to>
    <xdr:graphicFrame macro="">
      <xdr:nvGraphicFramePr>
        <xdr:cNvPr id="3" name="Chart 2">
          <a:extLst>
            <a:ext uri="{FF2B5EF4-FFF2-40B4-BE49-F238E27FC236}">
              <a16:creationId xmlns:a16="http://schemas.microsoft.com/office/drawing/2014/main" id="{CB76C0B1-3558-4E15-B330-8088F109A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14</xdr:row>
      <xdr:rowOff>0</xdr:rowOff>
    </xdr:from>
    <xdr:to>
      <xdr:col>3</xdr:col>
      <xdr:colOff>523875</xdr:colOff>
      <xdr:row>18</xdr:row>
      <xdr:rowOff>161926</xdr:rowOff>
    </xdr:to>
    <xdr:sp macro="" textlink="">
      <xdr:nvSpPr>
        <xdr:cNvPr id="4" name="Rectangle 3">
          <a:extLst>
            <a:ext uri="{FF2B5EF4-FFF2-40B4-BE49-F238E27FC236}">
              <a16:creationId xmlns:a16="http://schemas.microsoft.com/office/drawing/2014/main" id="{3714A1A8-813A-4A28-8ED8-E0F8A65FBB5D}"/>
            </a:ext>
          </a:extLst>
        </xdr:cNvPr>
        <xdr:cNvSpPr/>
      </xdr:nvSpPr>
      <xdr:spPr>
        <a:xfrm>
          <a:off x="1266825" y="2667000"/>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CBI-Supplier Diversity.xlsx in Appendix E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335758</xdr:colOff>
      <xdr:row>15</xdr:row>
      <xdr:rowOff>71488</xdr:rowOff>
    </xdr:to>
    <xdr:pic>
      <xdr:nvPicPr>
        <xdr:cNvPr id="4" name="Picture 3">
          <a:extLst>
            <a:ext uri="{FF2B5EF4-FFF2-40B4-BE49-F238E27FC236}">
              <a16:creationId xmlns:a16="http://schemas.microsoft.com/office/drawing/2014/main" id="{F93C276B-A1CA-46CE-8F1E-7E8F5F0546DD}"/>
            </a:ext>
          </a:extLst>
        </xdr:cNvPr>
        <xdr:cNvPicPr>
          <a:picLocks noChangeAspect="1"/>
        </xdr:cNvPicPr>
      </xdr:nvPicPr>
      <xdr:blipFill>
        <a:blip xmlns:r="http://schemas.openxmlformats.org/officeDocument/2006/relationships" r:embed="rId1"/>
        <a:stretch>
          <a:fillRect/>
        </a:stretch>
      </xdr:blipFill>
      <xdr:spPr>
        <a:xfrm>
          <a:off x="0" y="0"/>
          <a:ext cx="5517358" cy="27861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1</xdr:row>
      <xdr:rowOff>161925</xdr:rowOff>
    </xdr:from>
    <xdr:to>
      <xdr:col>7</xdr:col>
      <xdr:colOff>438150</xdr:colOff>
      <xdr:row>29</xdr:row>
      <xdr:rowOff>104775</xdr:rowOff>
    </xdr:to>
    <xdr:pic>
      <xdr:nvPicPr>
        <xdr:cNvPr id="2" name="Picture 1">
          <a:extLst>
            <a:ext uri="{FF2B5EF4-FFF2-40B4-BE49-F238E27FC236}">
              <a16:creationId xmlns:a16="http://schemas.microsoft.com/office/drawing/2014/main" id="{D83D2FFD-8A44-4369-BCF2-B939EE76BC0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342900"/>
          <a:ext cx="3914775" cy="50101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634365</xdr:colOff>
      <xdr:row>18</xdr:row>
      <xdr:rowOff>40640</xdr:rowOff>
    </xdr:to>
    <xdr:pic>
      <xdr:nvPicPr>
        <xdr:cNvPr id="2" name="Picture 1">
          <a:extLst>
            <a:ext uri="{FF2B5EF4-FFF2-40B4-BE49-F238E27FC236}">
              <a16:creationId xmlns:a16="http://schemas.microsoft.com/office/drawing/2014/main" id="{84002A42-3386-44DF-B192-DB088975673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15965" cy="329819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762000</xdr:colOff>
      <xdr:row>25</xdr:row>
      <xdr:rowOff>152400</xdr:rowOff>
    </xdr:to>
    <xdr:pic>
      <xdr:nvPicPr>
        <xdr:cNvPr id="2" name="Picture 1">
          <a:extLst>
            <a:ext uri="{FF2B5EF4-FFF2-40B4-BE49-F238E27FC236}">
              <a16:creationId xmlns:a16="http://schemas.microsoft.com/office/drawing/2014/main" id="{E737B692-ACC2-4106-88DD-0826AD683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975"/>
          <a:ext cx="5943600" cy="789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50005</xdr:colOff>
      <xdr:row>65</xdr:row>
      <xdr:rowOff>88105</xdr:rowOff>
    </xdr:from>
    <xdr:to>
      <xdr:col>9</xdr:col>
      <xdr:colOff>0</xdr:colOff>
      <xdr:row>79</xdr:row>
      <xdr:rowOff>116680</xdr:rowOff>
    </xdr:to>
    <xdr:graphicFrame macro="">
      <xdr:nvGraphicFramePr>
        <xdr:cNvPr id="2" name="Chart 1">
          <a:extLst>
            <a:ext uri="{FF2B5EF4-FFF2-40B4-BE49-F238E27FC236}">
              <a16:creationId xmlns:a16="http://schemas.microsoft.com/office/drawing/2014/main" id="{B0539A77-529E-4B63-A328-EED116AC5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17</xdr:col>
      <xdr:colOff>381000</xdr:colOff>
      <xdr:row>18</xdr:row>
      <xdr:rowOff>102870</xdr:rowOff>
    </xdr:to>
    <xdr:graphicFrame macro="">
      <xdr:nvGraphicFramePr>
        <xdr:cNvPr id="3" name="Chart 2">
          <a:extLst>
            <a:ext uri="{FF2B5EF4-FFF2-40B4-BE49-F238E27FC236}">
              <a16:creationId xmlns:a16="http://schemas.microsoft.com/office/drawing/2014/main" id="{E36E1B8F-073B-4BED-BD42-F1B9111B1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30</xdr:row>
      <xdr:rowOff>0</xdr:rowOff>
    </xdr:from>
    <xdr:to>
      <xdr:col>16</xdr:col>
      <xdr:colOff>352425</xdr:colOff>
      <xdr:row>48</xdr:row>
      <xdr:rowOff>57151</xdr:rowOff>
    </xdr:to>
    <xdr:graphicFrame macro="">
      <xdr:nvGraphicFramePr>
        <xdr:cNvPr id="4" name="Chart 3">
          <a:extLst>
            <a:ext uri="{FF2B5EF4-FFF2-40B4-BE49-F238E27FC236}">
              <a16:creationId xmlns:a16="http://schemas.microsoft.com/office/drawing/2014/main" id="{FC74912F-344D-4544-B16B-B586B8E83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847725</xdr:colOff>
      <xdr:row>66</xdr:row>
      <xdr:rowOff>152400</xdr:rowOff>
    </xdr:from>
    <xdr:to>
      <xdr:col>16</xdr:col>
      <xdr:colOff>695319</xdr:colOff>
      <xdr:row>89</xdr:row>
      <xdr:rowOff>147638</xdr:rowOff>
    </xdr:to>
    <xdr:graphicFrame macro="">
      <xdr:nvGraphicFramePr>
        <xdr:cNvPr id="2" name="Chart 1">
          <a:extLst>
            <a:ext uri="{FF2B5EF4-FFF2-40B4-BE49-F238E27FC236}">
              <a16:creationId xmlns:a16="http://schemas.microsoft.com/office/drawing/2014/main" id="{60F4A282-F621-4477-9123-EDEA60D4F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9531</xdr:colOff>
      <xdr:row>88</xdr:row>
      <xdr:rowOff>119063</xdr:rowOff>
    </xdr:from>
    <xdr:to>
      <xdr:col>8</xdr:col>
      <xdr:colOff>895350</xdr:colOff>
      <xdr:row>111</xdr:row>
      <xdr:rowOff>76200</xdr:rowOff>
    </xdr:to>
    <xdr:graphicFrame macro="">
      <xdr:nvGraphicFramePr>
        <xdr:cNvPr id="5" name="Chart 4">
          <a:extLst>
            <a:ext uri="{FF2B5EF4-FFF2-40B4-BE49-F238E27FC236}">
              <a16:creationId xmlns:a16="http://schemas.microsoft.com/office/drawing/2014/main" id="{4F735FA0-622E-4E57-8B29-0EE70CE45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1971674</xdr:colOff>
      <xdr:row>115</xdr:row>
      <xdr:rowOff>76200</xdr:rowOff>
    </xdr:from>
    <xdr:to>
      <xdr:col>1</xdr:col>
      <xdr:colOff>1666874</xdr:colOff>
      <xdr:row>121</xdr:row>
      <xdr:rowOff>28576</xdr:rowOff>
    </xdr:to>
    <xdr:sp macro="" textlink="">
      <xdr:nvSpPr>
        <xdr:cNvPr id="6" name="Rectangle 5">
          <a:extLst>
            <a:ext uri="{FF2B5EF4-FFF2-40B4-BE49-F238E27FC236}">
              <a16:creationId xmlns:a16="http://schemas.microsoft.com/office/drawing/2014/main" id="{93F60D9E-EBE3-43D3-AF35-1919D4C38893}"/>
            </a:ext>
          </a:extLst>
        </xdr:cNvPr>
        <xdr:cNvSpPr/>
      </xdr:nvSpPr>
      <xdr:spPr>
        <a:xfrm>
          <a:off x="1971674" y="15887700"/>
          <a:ext cx="2486025" cy="9239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This</a:t>
          </a:r>
          <a:r>
            <a:rPr lang="en-US" sz="1100" baseline="0"/>
            <a:t> data is found in the CBI-Program Participants.xlsx in Appendix 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2</xdr:row>
      <xdr:rowOff>9525</xdr:rowOff>
    </xdr:from>
    <xdr:to>
      <xdr:col>11</xdr:col>
      <xdr:colOff>704850</xdr:colOff>
      <xdr:row>18</xdr:row>
      <xdr:rowOff>150495</xdr:rowOff>
    </xdr:to>
    <xdr:graphicFrame macro="">
      <xdr:nvGraphicFramePr>
        <xdr:cNvPr id="2" name="Chart 1">
          <a:extLst>
            <a:ext uri="{FF2B5EF4-FFF2-40B4-BE49-F238E27FC236}">
              <a16:creationId xmlns:a16="http://schemas.microsoft.com/office/drawing/2014/main" id="{B7D31046-EC5C-42B8-981A-248898B69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38</xdr:row>
      <xdr:rowOff>88105</xdr:rowOff>
    </xdr:from>
    <xdr:to>
      <xdr:col>3</xdr:col>
      <xdr:colOff>573880</xdr:colOff>
      <xdr:row>52</xdr:row>
      <xdr:rowOff>116680</xdr:rowOff>
    </xdr:to>
    <xdr:graphicFrame macro="">
      <xdr:nvGraphicFramePr>
        <xdr:cNvPr id="3" name="Chart 2">
          <a:extLst>
            <a:ext uri="{FF2B5EF4-FFF2-40B4-BE49-F238E27FC236}">
              <a16:creationId xmlns:a16="http://schemas.microsoft.com/office/drawing/2014/main" id="{601A1FB2-BBBD-410D-97AB-BAB77CE3A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209550</xdr:colOff>
      <xdr:row>2</xdr:row>
      <xdr:rowOff>72390</xdr:rowOff>
    </xdr:from>
    <xdr:to>
      <xdr:col>21</xdr:col>
      <xdr:colOff>95250</xdr:colOff>
      <xdr:row>17</xdr:row>
      <xdr:rowOff>114300</xdr:rowOff>
    </xdr:to>
    <xdr:graphicFrame macro="">
      <xdr:nvGraphicFramePr>
        <xdr:cNvPr id="3" name="Chart 2">
          <a:extLst>
            <a:ext uri="{FF2B5EF4-FFF2-40B4-BE49-F238E27FC236}">
              <a16:creationId xmlns:a16="http://schemas.microsoft.com/office/drawing/2014/main" id="{96D01E60-8A70-45FB-869A-6817F4A4C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TT5127\Desktop\Short%20Term%20Projects\Historical%20EA%20Person%20Count%20with%20S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qzd8rg\AppData\Local\Microsoft\Windows\INetCache\Content.Outlook\I73WO2YH\Outdoor%20Air%20Qualit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Regulatory%20Filings\2021%20Regulatory%20Filings\CEIP\Greenhouse%20Gas%20Emiss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2021%20WA%20Clean%20Energy%20Implementation%20Plan%20(CEIP)%20(UE-210628)/CEIP%20Document%20Final%20Draft%2010.01.2021/Appendix%20E-%20Customer%20Benefit%20Indicators/CBI-%20Program%20Participa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etration Rate"/>
      <sheetName val="Summary No Dup Person All"/>
      <sheetName val="Summary No Dup Person NC"/>
      <sheetName val="Summary"/>
      <sheetName val="Sheet3"/>
      <sheetName val="WA Details"/>
    </sheetNames>
    <sheetDataSet>
      <sheetData sheetId="0">
        <row r="41">
          <cell r="C41" t="str">
            <v>All Customers</v>
          </cell>
          <cell r="D41" t="str">
            <v>Named Communities</v>
          </cell>
        </row>
        <row r="46">
          <cell r="B46" t="str">
            <v>4 yr avg (16-19)</v>
          </cell>
          <cell r="C46">
            <v>18346.75</v>
          </cell>
          <cell r="D46">
            <v>9531</v>
          </cell>
        </row>
        <row r="48">
          <cell r="B48">
            <v>2021</v>
          </cell>
          <cell r="C48">
            <v>0</v>
          </cell>
          <cell r="D48">
            <v>0</v>
          </cell>
        </row>
        <row r="82">
          <cell r="B82" t="str">
            <v>Customer Count (2021)</v>
          </cell>
          <cell r="C82">
            <v>0</v>
          </cell>
        </row>
        <row r="83">
          <cell r="B83" t="str">
            <v>Payment Total (2021)</v>
          </cell>
          <cell r="C83">
            <v>0</v>
          </cell>
        </row>
        <row r="84">
          <cell r="B84" t="str">
            <v>Avg Pmt Amt (2021)</v>
          </cell>
          <cell r="C84">
            <v>0</v>
          </cell>
        </row>
        <row r="85">
          <cell r="B85" t="str">
            <v>Payments (2021)</v>
          </cell>
          <cell r="C85">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Quality Data"/>
      <sheetName val="Population"/>
    </sheetNames>
    <sheetDataSet>
      <sheetData sheetId="0">
        <row r="31">
          <cell r="B31">
            <v>2016</v>
          </cell>
        </row>
      </sheetData>
      <sheetData sheetId="1">
        <row r="3">
          <cell r="A3" t="str">
            <v>Washington</v>
          </cell>
          <cell r="B3">
            <v>6724540</v>
          </cell>
          <cell r="C3">
            <v>6767900</v>
          </cell>
          <cell r="D3">
            <v>6817770</v>
          </cell>
          <cell r="E3">
            <v>6882400</v>
          </cell>
          <cell r="F3">
            <v>6968170</v>
          </cell>
          <cell r="G3">
            <v>7061410</v>
          </cell>
          <cell r="H3">
            <v>7183700</v>
          </cell>
          <cell r="I3">
            <v>7310300</v>
          </cell>
          <cell r="J3">
            <v>7427570</v>
          </cell>
          <cell r="K3">
            <v>7546410</v>
          </cell>
          <cell r="L3">
            <v>7656200</v>
          </cell>
        </row>
        <row r="4">
          <cell r="A4" t="str">
            <v>Adams</v>
          </cell>
          <cell r="B4">
            <v>18728</v>
          </cell>
          <cell r="C4">
            <v>18950</v>
          </cell>
          <cell r="D4">
            <v>19050</v>
          </cell>
          <cell r="E4">
            <v>19200</v>
          </cell>
          <cell r="F4">
            <v>19400</v>
          </cell>
          <cell r="G4">
            <v>19410</v>
          </cell>
          <cell r="H4">
            <v>19510</v>
          </cell>
          <cell r="I4">
            <v>19870</v>
          </cell>
          <cell r="J4">
            <v>20020</v>
          </cell>
          <cell r="K4">
            <v>20150</v>
          </cell>
          <cell r="L4">
            <v>20450</v>
          </cell>
        </row>
        <row r="5">
          <cell r="A5" t="str">
            <v>Asotin</v>
          </cell>
          <cell r="B5">
            <v>21623</v>
          </cell>
          <cell r="C5">
            <v>21650</v>
          </cell>
          <cell r="D5">
            <v>21700</v>
          </cell>
          <cell r="E5">
            <v>21800</v>
          </cell>
          <cell r="F5">
            <v>21950</v>
          </cell>
          <cell r="G5">
            <v>22010</v>
          </cell>
          <cell r="H5">
            <v>22150</v>
          </cell>
          <cell r="I5">
            <v>22290</v>
          </cell>
          <cell r="J5">
            <v>22420</v>
          </cell>
          <cell r="K5">
            <v>22520</v>
          </cell>
          <cell r="L5">
            <v>22640</v>
          </cell>
        </row>
        <row r="6">
          <cell r="A6" t="str">
            <v>Benton</v>
          </cell>
          <cell r="B6">
            <v>175177</v>
          </cell>
          <cell r="C6">
            <v>177900</v>
          </cell>
          <cell r="D6">
            <v>180000</v>
          </cell>
          <cell r="E6">
            <v>183400</v>
          </cell>
          <cell r="F6">
            <v>186500</v>
          </cell>
          <cell r="G6">
            <v>188590</v>
          </cell>
          <cell r="H6">
            <v>190500</v>
          </cell>
          <cell r="I6">
            <v>193500</v>
          </cell>
          <cell r="J6">
            <v>197420</v>
          </cell>
          <cell r="K6">
            <v>201800</v>
          </cell>
          <cell r="L6">
            <v>205700</v>
          </cell>
        </row>
        <row r="7">
          <cell r="A7" t="str">
            <v>Chelan</v>
          </cell>
          <cell r="B7">
            <v>72453</v>
          </cell>
          <cell r="C7">
            <v>72700</v>
          </cell>
          <cell r="D7">
            <v>73200</v>
          </cell>
          <cell r="E7">
            <v>73600</v>
          </cell>
          <cell r="F7">
            <v>74300</v>
          </cell>
          <cell r="G7">
            <v>75030</v>
          </cell>
          <cell r="H7">
            <v>75910</v>
          </cell>
          <cell r="I7">
            <v>76830</v>
          </cell>
          <cell r="J7">
            <v>77800</v>
          </cell>
          <cell r="K7">
            <v>78420</v>
          </cell>
          <cell r="L7">
            <v>79660</v>
          </cell>
        </row>
        <row r="8">
          <cell r="A8" t="str">
            <v>Clallam</v>
          </cell>
          <cell r="B8">
            <v>71404</v>
          </cell>
          <cell r="C8">
            <v>71600</v>
          </cell>
          <cell r="D8">
            <v>72000</v>
          </cell>
          <cell r="E8">
            <v>72350</v>
          </cell>
          <cell r="F8">
            <v>72500</v>
          </cell>
          <cell r="G8">
            <v>72650</v>
          </cell>
          <cell r="H8">
            <v>73410</v>
          </cell>
          <cell r="I8">
            <v>74240</v>
          </cell>
          <cell r="J8">
            <v>75130</v>
          </cell>
          <cell r="K8">
            <v>76010</v>
          </cell>
          <cell r="L8">
            <v>76770</v>
          </cell>
        </row>
        <row r="9">
          <cell r="A9" t="str">
            <v>Clark</v>
          </cell>
          <cell r="B9">
            <v>425363</v>
          </cell>
          <cell r="C9">
            <v>428000</v>
          </cell>
          <cell r="D9">
            <v>431250</v>
          </cell>
          <cell r="E9">
            <v>435500</v>
          </cell>
          <cell r="F9">
            <v>442800</v>
          </cell>
          <cell r="G9">
            <v>451820</v>
          </cell>
          <cell r="H9">
            <v>461010</v>
          </cell>
          <cell r="I9">
            <v>471000</v>
          </cell>
          <cell r="J9">
            <v>479500</v>
          </cell>
          <cell r="K9">
            <v>488500</v>
          </cell>
          <cell r="L9">
            <v>499200</v>
          </cell>
        </row>
        <row r="10">
          <cell r="A10" t="str">
            <v>Columbia</v>
          </cell>
          <cell r="B10">
            <v>4078</v>
          </cell>
          <cell r="C10">
            <v>4100</v>
          </cell>
          <cell r="D10">
            <v>4100</v>
          </cell>
          <cell r="E10">
            <v>4100</v>
          </cell>
          <cell r="F10">
            <v>4080</v>
          </cell>
          <cell r="G10">
            <v>4090</v>
          </cell>
          <cell r="H10">
            <v>4050</v>
          </cell>
          <cell r="I10">
            <v>4100</v>
          </cell>
          <cell r="J10">
            <v>4150</v>
          </cell>
          <cell r="K10">
            <v>4160</v>
          </cell>
          <cell r="L10">
            <v>4185</v>
          </cell>
        </row>
        <row r="11">
          <cell r="A11" t="str">
            <v>Cowlitz</v>
          </cell>
          <cell r="B11">
            <v>102410</v>
          </cell>
          <cell r="C11">
            <v>102700</v>
          </cell>
          <cell r="D11">
            <v>103050</v>
          </cell>
          <cell r="E11">
            <v>103300</v>
          </cell>
          <cell r="F11">
            <v>103700</v>
          </cell>
          <cell r="G11">
            <v>104280</v>
          </cell>
          <cell r="H11">
            <v>104850</v>
          </cell>
          <cell r="I11">
            <v>105900</v>
          </cell>
          <cell r="J11">
            <v>107310</v>
          </cell>
          <cell r="K11">
            <v>108950</v>
          </cell>
          <cell r="L11">
            <v>110500</v>
          </cell>
        </row>
        <row r="12">
          <cell r="A12" t="str">
            <v>Douglas</v>
          </cell>
          <cell r="B12">
            <v>38431</v>
          </cell>
          <cell r="C12">
            <v>38650</v>
          </cell>
          <cell r="D12">
            <v>38900</v>
          </cell>
          <cell r="E12">
            <v>39280</v>
          </cell>
          <cell r="F12">
            <v>39700</v>
          </cell>
          <cell r="G12">
            <v>39990</v>
          </cell>
          <cell r="H12">
            <v>40720</v>
          </cell>
          <cell r="I12">
            <v>41420</v>
          </cell>
          <cell r="J12">
            <v>42120</v>
          </cell>
          <cell r="K12">
            <v>42820</v>
          </cell>
          <cell r="L12">
            <v>43750</v>
          </cell>
        </row>
        <row r="13">
          <cell r="A13" t="str">
            <v>Ferry</v>
          </cell>
          <cell r="B13">
            <v>7551</v>
          </cell>
          <cell r="C13">
            <v>7600</v>
          </cell>
          <cell r="D13">
            <v>7650</v>
          </cell>
          <cell r="E13">
            <v>7650</v>
          </cell>
          <cell r="F13">
            <v>7660</v>
          </cell>
          <cell r="G13">
            <v>7710</v>
          </cell>
          <cell r="H13">
            <v>7700</v>
          </cell>
          <cell r="I13">
            <v>7740</v>
          </cell>
          <cell r="J13">
            <v>7780</v>
          </cell>
          <cell r="K13">
            <v>7830</v>
          </cell>
          <cell r="L13">
            <v>7910</v>
          </cell>
        </row>
        <row r="14">
          <cell r="A14" t="str">
            <v>Franklin</v>
          </cell>
          <cell r="B14">
            <v>78163</v>
          </cell>
          <cell r="C14">
            <v>80500</v>
          </cell>
          <cell r="D14">
            <v>82500</v>
          </cell>
          <cell r="E14">
            <v>84800</v>
          </cell>
          <cell r="F14">
            <v>86600</v>
          </cell>
          <cell r="G14">
            <v>87150</v>
          </cell>
          <cell r="H14">
            <v>88670</v>
          </cell>
          <cell r="I14">
            <v>90330</v>
          </cell>
          <cell r="J14">
            <v>92540</v>
          </cell>
          <cell r="K14">
            <v>94680</v>
          </cell>
          <cell r="L14">
            <v>96760</v>
          </cell>
        </row>
        <row r="15">
          <cell r="A15" t="str">
            <v>Garfield</v>
          </cell>
          <cell r="B15">
            <v>2266</v>
          </cell>
          <cell r="C15">
            <v>2250</v>
          </cell>
          <cell r="D15">
            <v>2250</v>
          </cell>
          <cell r="E15">
            <v>2250</v>
          </cell>
          <cell r="F15">
            <v>2240</v>
          </cell>
          <cell r="G15">
            <v>2260</v>
          </cell>
          <cell r="H15">
            <v>2200</v>
          </cell>
          <cell r="I15">
            <v>2200</v>
          </cell>
          <cell r="J15">
            <v>2210</v>
          </cell>
          <cell r="K15">
            <v>2220</v>
          </cell>
          <cell r="L15">
            <v>2225</v>
          </cell>
        </row>
        <row r="16">
          <cell r="A16" t="str">
            <v>Grant</v>
          </cell>
          <cell r="B16">
            <v>89120</v>
          </cell>
          <cell r="C16">
            <v>90100</v>
          </cell>
          <cell r="D16">
            <v>91000</v>
          </cell>
          <cell r="E16">
            <v>91800</v>
          </cell>
          <cell r="F16">
            <v>92900</v>
          </cell>
          <cell r="G16">
            <v>93930</v>
          </cell>
          <cell r="H16">
            <v>94610</v>
          </cell>
          <cell r="I16">
            <v>95630</v>
          </cell>
          <cell r="J16">
            <v>97350</v>
          </cell>
          <cell r="K16">
            <v>98740</v>
          </cell>
          <cell r="L16">
            <v>100130</v>
          </cell>
        </row>
        <row r="17">
          <cell r="A17" t="str">
            <v>Grays Harbor</v>
          </cell>
          <cell r="B17">
            <v>72797</v>
          </cell>
          <cell r="C17">
            <v>72900</v>
          </cell>
          <cell r="D17">
            <v>73150</v>
          </cell>
          <cell r="E17">
            <v>73200</v>
          </cell>
          <cell r="F17">
            <v>73300</v>
          </cell>
          <cell r="G17">
            <v>73110</v>
          </cell>
          <cell r="H17">
            <v>72820</v>
          </cell>
          <cell r="I17">
            <v>72970</v>
          </cell>
          <cell r="J17">
            <v>73610</v>
          </cell>
          <cell r="K17">
            <v>74160</v>
          </cell>
          <cell r="L17">
            <v>74720</v>
          </cell>
        </row>
        <row r="18">
          <cell r="A18" t="str">
            <v>Island</v>
          </cell>
          <cell r="B18">
            <v>78506</v>
          </cell>
          <cell r="C18">
            <v>78800</v>
          </cell>
          <cell r="D18">
            <v>79350</v>
          </cell>
          <cell r="E18">
            <v>79700</v>
          </cell>
          <cell r="F18">
            <v>80000</v>
          </cell>
          <cell r="G18">
            <v>80600</v>
          </cell>
          <cell r="H18">
            <v>82910</v>
          </cell>
          <cell r="I18">
            <v>82790</v>
          </cell>
          <cell r="J18">
            <v>83860</v>
          </cell>
          <cell r="K18">
            <v>84820</v>
          </cell>
          <cell r="L18">
            <v>85530</v>
          </cell>
        </row>
        <row r="19">
          <cell r="A19" t="str">
            <v>Jefferson</v>
          </cell>
          <cell r="B19">
            <v>29872</v>
          </cell>
          <cell r="C19">
            <v>30050</v>
          </cell>
          <cell r="D19">
            <v>30175</v>
          </cell>
          <cell r="E19">
            <v>30275</v>
          </cell>
          <cell r="F19">
            <v>30700</v>
          </cell>
          <cell r="G19">
            <v>30880</v>
          </cell>
          <cell r="H19">
            <v>31090</v>
          </cell>
          <cell r="I19">
            <v>31360</v>
          </cell>
          <cell r="J19">
            <v>31590</v>
          </cell>
          <cell r="K19">
            <v>31900</v>
          </cell>
          <cell r="L19">
            <v>32190</v>
          </cell>
        </row>
        <row r="20">
          <cell r="A20" t="str">
            <v>King</v>
          </cell>
          <cell r="B20">
            <v>1931249</v>
          </cell>
          <cell r="C20">
            <v>1942600</v>
          </cell>
          <cell r="D20">
            <v>1957000</v>
          </cell>
          <cell r="E20">
            <v>1981900</v>
          </cell>
          <cell r="F20">
            <v>2017250</v>
          </cell>
          <cell r="G20">
            <v>2052800</v>
          </cell>
          <cell r="H20">
            <v>2105100</v>
          </cell>
          <cell r="I20">
            <v>2153700</v>
          </cell>
          <cell r="J20">
            <v>2190200</v>
          </cell>
          <cell r="K20">
            <v>2226300</v>
          </cell>
          <cell r="L20">
            <v>2260800</v>
          </cell>
        </row>
        <row r="21">
          <cell r="A21" t="str">
            <v>Kitsap</v>
          </cell>
          <cell r="B21">
            <v>251133</v>
          </cell>
          <cell r="C21">
            <v>253900</v>
          </cell>
          <cell r="D21">
            <v>254500</v>
          </cell>
          <cell r="E21">
            <v>254000</v>
          </cell>
          <cell r="F21">
            <v>255900</v>
          </cell>
          <cell r="G21">
            <v>258200</v>
          </cell>
          <cell r="H21">
            <v>262590</v>
          </cell>
          <cell r="I21">
            <v>264300</v>
          </cell>
          <cell r="J21">
            <v>267120</v>
          </cell>
          <cell r="K21">
            <v>270100</v>
          </cell>
          <cell r="L21">
            <v>272200</v>
          </cell>
        </row>
        <row r="22">
          <cell r="A22" t="str">
            <v>Kittitas</v>
          </cell>
          <cell r="B22">
            <v>40915</v>
          </cell>
          <cell r="C22">
            <v>41300</v>
          </cell>
          <cell r="D22">
            <v>41500</v>
          </cell>
          <cell r="E22">
            <v>41900</v>
          </cell>
          <cell r="F22">
            <v>42100</v>
          </cell>
          <cell r="G22">
            <v>42670</v>
          </cell>
          <cell r="H22">
            <v>43710</v>
          </cell>
          <cell r="I22">
            <v>44730</v>
          </cell>
          <cell r="J22">
            <v>45600</v>
          </cell>
          <cell r="K22">
            <v>46570</v>
          </cell>
          <cell r="L22">
            <v>48140</v>
          </cell>
        </row>
        <row r="23">
          <cell r="A23" t="str">
            <v>Klickitat</v>
          </cell>
          <cell r="B23">
            <v>20318</v>
          </cell>
          <cell r="C23">
            <v>20500</v>
          </cell>
          <cell r="D23">
            <v>20600</v>
          </cell>
          <cell r="E23">
            <v>20700</v>
          </cell>
          <cell r="F23">
            <v>20850</v>
          </cell>
          <cell r="G23">
            <v>21000</v>
          </cell>
          <cell r="H23">
            <v>21270</v>
          </cell>
          <cell r="I23">
            <v>21660</v>
          </cell>
          <cell r="J23">
            <v>21980</v>
          </cell>
          <cell r="K23">
            <v>22430</v>
          </cell>
          <cell r="L23">
            <v>22770</v>
          </cell>
        </row>
        <row r="24">
          <cell r="A24" t="str">
            <v>Lewis</v>
          </cell>
          <cell r="B24">
            <v>75455</v>
          </cell>
          <cell r="C24">
            <v>76000</v>
          </cell>
          <cell r="D24">
            <v>76300</v>
          </cell>
          <cell r="E24">
            <v>76200</v>
          </cell>
          <cell r="F24">
            <v>76300</v>
          </cell>
          <cell r="G24">
            <v>76660</v>
          </cell>
          <cell r="H24">
            <v>76890</v>
          </cell>
          <cell r="I24">
            <v>77440</v>
          </cell>
          <cell r="J24">
            <v>78380</v>
          </cell>
          <cell r="K24">
            <v>79480</v>
          </cell>
          <cell r="L24">
            <v>80250</v>
          </cell>
        </row>
        <row r="25">
          <cell r="A25" t="str">
            <v>Lincoln</v>
          </cell>
          <cell r="B25">
            <v>10570</v>
          </cell>
          <cell r="C25">
            <v>10600</v>
          </cell>
          <cell r="D25">
            <v>10675</v>
          </cell>
          <cell r="E25">
            <v>10675</v>
          </cell>
          <cell r="F25">
            <v>10700</v>
          </cell>
          <cell r="G25">
            <v>10720</v>
          </cell>
          <cell r="H25">
            <v>10640</v>
          </cell>
          <cell r="I25">
            <v>10700</v>
          </cell>
          <cell r="J25">
            <v>10810</v>
          </cell>
          <cell r="K25">
            <v>10960</v>
          </cell>
          <cell r="L25">
            <v>11050</v>
          </cell>
        </row>
        <row r="26">
          <cell r="A26" t="str">
            <v>Mason</v>
          </cell>
          <cell r="B26">
            <v>60699</v>
          </cell>
          <cell r="C26">
            <v>61100</v>
          </cell>
          <cell r="D26">
            <v>61450</v>
          </cell>
          <cell r="E26">
            <v>61800</v>
          </cell>
          <cell r="F26">
            <v>62000</v>
          </cell>
          <cell r="G26">
            <v>62200</v>
          </cell>
          <cell r="H26">
            <v>62320</v>
          </cell>
          <cell r="I26">
            <v>63190</v>
          </cell>
          <cell r="J26">
            <v>64020</v>
          </cell>
          <cell r="K26">
            <v>64980</v>
          </cell>
          <cell r="L26">
            <v>65650</v>
          </cell>
        </row>
        <row r="27">
          <cell r="A27" t="str">
            <v>Okanogan</v>
          </cell>
          <cell r="B27">
            <v>41120</v>
          </cell>
          <cell r="C27">
            <v>41200</v>
          </cell>
          <cell r="D27">
            <v>41425</v>
          </cell>
          <cell r="E27">
            <v>41500</v>
          </cell>
          <cell r="F27">
            <v>41700</v>
          </cell>
          <cell r="G27">
            <v>41860</v>
          </cell>
          <cell r="H27">
            <v>41730</v>
          </cell>
          <cell r="I27">
            <v>42110</v>
          </cell>
          <cell r="J27">
            <v>42490</v>
          </cell>
          <cell r="K27">
            <v>42730</v>
          </cell>
          <cell r="L27">
            <v>43130</v>
          </cell>
        </row>
        <row r="28">
          <cell r="A28" t="str">
            <v>Pacific</v>
          </cell>
          <cell r="B28">
            <v>20920</v>
          </cell>
          <cell r="C28">
            <v>20900</v>
          </cell>
          <cell r="D28">
            <v>20970</v>
          </cell>
          <cell r="E28">
            <v>21000</v>
          </cell>
          <cell r="F28">
            <v>21100</v>
          </cell>
          <cell r="G28">
            <v>21210</v>
          </cell>
          <cell r="H28">
            <v>21180</v>
          </cell>
          <cell r="I28">
            <v>21250</v>
          </cell>
          <cell r="J28">
            <v>21420</v>
          </cell>
          <cell r="K28">
            <v>21640</v>
          </cell>
          <cell r="L28">
            <v>21840</v>
          </cell>
        </row>
        <row r="29">
          <cell r="A29" t="str">
            <v>Pend Oreille</v>
          </cell>
          <cell r="B29">
            <v>13001</v>
          </cell>
          <cell r="C29">
            <v>13000</v>
          </cell>
          <cell r="D29">
            <v>13100</v>
          </cell>
          <cell r="E29">
            <v>13150</v>
          </cell>
          <cell r="F29">
            <v>13210</v>
          </cell>
          <cell r="G29">
            <v>13240</v>
          </cell>
          <cell r="H29">
            <v>13290</v>
          </cell>
          <cell r="I29">
            <v>13370</v>
          </cell>
          <cell r="J29">
            <v>13540</v>
          </cell>
          <cell r="K29">
            <v>13740</v>
          </cell>
          <cell r="L29">
            <v>13850</v>
          </cell>
        </row>
        <row r="30">
          <cell r="A30" t="str">
            <v>Pierce</v>
          </cell>
          <cell r="B30">
            <v>795225</v>
          </cell>
          <cell r="C30">
            <v>802150</v>
          </cell>
          <cell r="D30">
            <v>808200</v>
          </cell>
          <cell r="E30">
            <v>814500</v>
          </cell>
          <cell r="F30">
            <v>821300</v>
          </cell>
          <cell r="G30">
            <v>830120</v>
          </cell>
          <cell r="H30">
            <v>844490</v>
          </cell>
          <cell r="I30">
            <v>859400</v>
          </cell>
          <cell r="J30">
            <v>872220</v>
          </cell>
          <cell r="K30">
            <v>888300</v>
          </cell>
          <cell r="L30">
            <v>900700</v>
          </cell>
        </row>
        <row r="31">
          <cell r="A31" t="str">
            <v>San Juan</v>
          </cell>
          <cell r="B31">
            <v>15769</v>
          </cell>
          <cell r="C31">
            <v>15900</v>
          </cell>
          <cell r="D31">
            <v>15925</v>
          </cell>
          <cell r="E31">
            <v>16000</v>
          </cell>
          <cell r="F31">
            <v>16100</v>
          </cell>
          <cell r="G31">
            <v>16180</v>
          </cell>
          <cell r="H31">
            <v>16320</v>
          </cell>
          <cell r="I31">
            <v>16510</v>
          </cell>
          <cell r="J31">
            <v>16810</v>
          </cell>
          <cell r="K31">
            <v>17150</v>
          </cell>
          <cell r="L31">
            <v>17340</v>
          </cell>
        </row>
        <row r="32">
          <cell r="A32" t="str">
            <v>Skagit</v>
          </cell>
          <cell r="B32">
            <v>116901</v>
          </cell>
          <cell r="C32">
            <v>117400</v>
          </cell>
          <cell r="D32">
            <v>117950</v>
          </cell>
          <cell r="E32">
            <v>118600</v>
          </cell>
          <cell r="F32">
            <v>119500</v>
          </cell>
          <cell r="G32">
            <v>120620</v>
          </cell>
          <cell r="H32">
            <v>122270</v>
          </cell>
          <cell r="I32">
            <v>124100</v>
          </cell>
          <cell r="J32">
            <v>126520</v>
          </cell>
          <cell r="K32">
            <v>129200</v>
          </cell>
          <cell r="L32">
            <v>130450</v>
          </cell>
        </row>
        <row r="33">
          <cell r="A33" t="str">
            <v>Skamania</v>
          </cell>
          <cell r="B33">
            <v>11066</v>
          </cell>
          <cell r="C33">
            <v>11150</v>
          </cell>
          <cell r="D33">
            <v>11275</v>
          </cell>
          <cell r="E33">
            <v>11300</v>
          </cell>
          <cell r="F33">
            <v>11370</v>
          </cell>
          <cell r="G33">
            <v>11430</v>
          </cell>
          <cell r="H33">
            <v>11500</v>
          </cell>
          <cell r="I33">
            <v>11690</v>
          </cell>
          <cell r="J33">
            <v>11890</v>
          </cell>
          <cell r="K33">
            <v>12060</v>
          </cell>
          <cell r="L33">
            <v>12220</v>
          </cell>
        </row>
        <row r="34">
          <cell r="A34" t="str">
            <v>Snohomish</v>
          </cell>
          <cell r="B34">
            <v>713335</v>
          </cell>
          <cell r="C34">
            <v>717000</v>
          </cell>
          <cell r="D34">
            <v>722900</v>
          </cell>
          <cell r="E34">
            <v>730500</v>
          </cell>
          <cell r="F34">
            <v>741000</v>
          </cell>
          <cell r="G34">
            <v>757600</v>
          </cell>
          <cell r="H34">
            <v>772860</v>
          </cell>
          <cell r="I34">
            <v>789400</v>
          </cell>
          <cell r="J34">
            <v>805120</v>
          </cell>
          <cell r="K34">
            <v>818700</v>
          </cell>
          <cell r="L34">
            <v>830500</v>
          </cell>
        </row>
        <row r="35">
          <cell r="A35" t="str">
            <v>Spokane</v>
          </cell>
          <cell r="B35">
            <v>471221</v>
          </cell>
          <cell r="C35">
            <v>472650</v>
          </cell>
          <cell r="D35">
            <v>475600</v>
          </cell>
          <cell r="E35">
            <v>480000</v>
          </cell>
          <cell r="F35">
            <v>484500</v>
          </cell>
          <cell r="G35">
            <v>488310</v>
          </cell>
          <cell r="H35">
            <v>492530</v>
          </cell>
          <cell r="I35">
            <v>499800</v>
          </cell>
          <cell r="J35">
            <v>507950</v>
          </cell>
          <cell r="K35">
            <v>515250</v>
          </cell>
          <cell r="L35">
            <v>522600</v>
          </cell>
        </row>
        <row r="36">
          <cell r="A36" t="str">
            <v>Stevens</v>
          </cell>
          <cell r="B36">
            <v>43531</v>
          </cell>
          <cell r="C36">
            <v>43600</v>
          </cell>
          <cell r="D36">
            <v>43700</v>
          </cell>
          <cell r="E36">
            <v>43800</v>
          </cell>
          <cell r="F36">
            <v>43900</v>
          </cell>
          <cell r="G36">
            <v>44030</v>
          </cell>
          <cell r="H36">
            <v>44100</v>
          </cell>
          <cell r="I36">
            <v>44510</v>
          </cell>
          <cell r="J36">
            <v>45030</v>
          </cell>
          <cell r="K36">
            <v>45570</v>
          </cell>
          <cell r="L36">
            <v>45920</v>
          </cell>
        </row>
        <row r="37">
          <cell r="A37" t="str">
            <v>Thurston</v>
          </cell>
          <cell r="B37">
            <v>252264</v>
          </cell>
          <cell r="C37">
            <v>254100</v>
          </cell>
          <cell r="D37">
            <v>256800</v>
          </cell>
          <cell r="E37">
            <v>260100</v>
          </cell>
          <cell r="F37">
            <v>264000</v>
          </cell>
          <cell r="G37">
            <v>267410</v>
          </cell>
          <cell r="H37">
            <v>272690</v>
          </cell>
          <cell r="I37">
            <v>276900</v>
          </cell>
          <cell r="J37">
            <v>281700</v>
          </cell>
          <cell r="K37">
            <v>285800</v>
          </cell>
          <cell r="L37">
            <v>291000</v>
          </cell>
        </row>
        <row r="38">
          <cell r="A38" t="str">
            <v>Wahkiakum</v>
          </cell>
          <cell r="B38">
            <v>3978</v>
          </cell>
          <cell r="C38">
            <v>4000</v>
          </cell>
          <cell r="D38">
            <v>4025</v>
          </cell>
          <cell r="E38">
            <v>4020</v>
          </cell>
          <cell r="F38">
            <v>4010</v>
          </cell>
          <cell r="G38">
            <v>3980</v>
          </cell>
          <cell r="H38">
            <v>4000</v>
          </cell>
          <cell r="I38">
            <v>4030</v>
          </cell>
          <cell r="J38">
            <v>4100</v>
          </cell>
          <cell r="K38">
            <v>4190</v>
          </cell>
          <cell r="L38">
            <v>4210</v>
          </cell>
        </row>
        <row r="39">
          <cell r="A39" t="str">
            <v>Walla Walla</v>
          </cell>
          <cell r="B39">
            <v>58781</v>
          </cell>
          <cell r="C39">
            <v>58800</v>
          </cell>
          <cell r="D39">
            <v>59100</v>
          </cell>
          <cell r="E39">
            <v>59500</v>
          </cell>
          <cell r="F39">
            <v>60150</v>
          </cell>
          <cell r="G39">
            <v>60650</v>
          </cell>
          <cell r="H39">
            <v>60730</v>
          </cell>
          <cell r="I39">
            <v>61400</v>
          </cell>
          <cell r="J39">
            <v>61800</v>
          </cell>
          <cell r="K39">
            <v>62200</v>
          </cell>
          <cell r="L39">
            <v>62580</v>
          </cell>
        </row>
        <row r="40">
          <cell r="A40" t="str">
            <v>Whatcom</v>
          </cell>
          <cell r="B40">
            <v>201140</v>
          </cell>
          <cell r="C40">
            <v>202100</v>
          </cell>
          <cell r="D40">
            <v>203500</v>
          </cell>
          <cell r="E40">
            <v>205800</v>
          </cell>
          <cell r="F40">
            <v>207600</v>
          </cell>
          <cell r="G40">
            <v>209790</v>
          </cell>
          <cell r="H40">
            <v>212540</v>
          </cell>
          <cell r="I40">
            <v>216300</v>
          </cell>
          <cell r="J40">
            <v>220350</v>
          </cell>
          <cell r="K40">
            <v>225300</v>
          </cell>
          <cell r="L40">
            <v>228000</v>
          </cell>
        </row>
        <row r="41">
          <cell r="A41" t="str">
            <v>Whitman</v>
          </cell>
          <cell r="B41">
            <v>44776</v>
          </cell>
          <cell r="C41">
            <v>44800</v>
          </cell>
          <cell r="D41">
            <v>45950</v>
          </cell>
          <cell r="E41">
            <v>46000</v>
          </cell>
          <cell r="F41">
            <v>46500</v>
          </cell>
          <cell r="G41">
            <v>47250</v>
          </cell>
          <cell r="H41">
            <v>47940</v>
          </cell>
          <cell r="I41">
            <v>48640</v>
          </cell>
          <cell r="J41">
            <v>49210</v>
          </cell>
          <cell r="K41">
            <v>50130</v>
          </cell>
          <cell r="L41">
            <v>50480</v>
          </cell>
        </row>
        <row r="42">
          <cell r="A42" t="str">
            <v>Yakima</v>
          </cell>
          <cell r="B42">
            <v>243231</v>
          </cell>
          <cell r="C42">
            <v>244700</v>
          </cell>
          <cell r="D42">
            <v>246000</v>
          </cell>
          <cell r="E42">
            <v>247250</v>
          </cell>
          <cell r="F42">
            <v>248800</v>
          </cell>
          <cell r="G42">
            <v>249970</v>
          </cell>
          <cell r="H42">
            <v>250900</v>
          </cell>
          <cell r="I42">
            <v>253000</v>
          </cell>
          <cell r="J42">
            <v>254500</v>
          </cell>
          <cell r="K42">
            <v>255950</v>
          </cell>
          <cell r="L42">
            <v>258200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al Summary"/>
      <sheetName val="Avista Emissions"/>
      <sheetName val="LDC"/>
      <sheetName val="Air"/>
      <sheetName val="Avista Power Plants"/>
      <sheetName val="Ag"/>
      <sheetName val="Waste"/>
      <sheetName val="Other Heating"/>
      <sheetName val="Rail"/>
      <sheetName val="Auto"/>
      <sheetName val="Ecology"/>
    </sheetNames>
    <sheetDataSet>
      <sheetData sheetId="0">
        <row r="34">
          <cell r="C34">
            <v>2016</v>
          </cell>
          <cell r="D34">
            <v>2017</v>
          </cell>
          <cell r="E34">
            <v>2018</v>
          </cell>
          <cell r="F34">
            <v>2019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turation Rate"/>
      <sheetName val="Measure % of Participation"/>
      <sheetName val="Sheet1"/>
    </sheetNames>
    <sheetDataSet>
      <sheetData sheetId="0">
        <row r="41">
          <cell r="C41" t="str">
            <v>All Customers</v>
          </cell>
          <cell r="D41" t="str">
            <v>Named Communities</v>
          </cell>
        </row>
        <row r="42">
          <cell r="B42">
            <v>2016</v>
          </cell>
          <cell r="C42">
            <v>17642</v>
          </cell>
          <cell r="D42">
            <v>9317</v>
          </cell>
        </row>
        <row r="43">
          <cell r="B43">
            <v>2017</v>
          </cell>
          <cell r="C43">
            <v>19284</v>
          </cell>
          <cell r="D43">
            <v>10069</v>
          </cell>
        </row>
        <row r="44">
          <cell r="B44">
            <v>2018</v>
          </cell>
          <cell r="C44">
            <v>18431</v>
          </cell>
          <cell r="D44">
            <v>9467</v>
          </cell>
        </row>
        <row r="45">
          <cell r="B45">
            <v>2019</v>
          </cell>
          <cell r="C45">
            <v>18030</v>
          </cell>
          <cell r="D45">
            <v>9271</v>
          </cell>
        </row>
        <row r="47">
          <cell r="B47">
            <v>2020</v>
          </cell>
          <cell r="C47">
            <v>23446</v>
          </cell>
          <cell r="D47">
            <v>11373</v>
          </cell>
        </row>
        <row r="49">
          <cell r="B49" t="str">
            <v>5 yr avg (16-20)</v>
          </cell>
          <cell r="C49">
            <v>19366.599999999999</v>
          </cell>
          <cell r="D49">
            <v>9899.4</v>
          </cell>
        </row>
        <row r="51">
          <cell r="C51" t="str">
            <v>All Customers</v>
          </cell>
          <cell r="D51" t="str">
            <v>Named Communities</v>
          </cell>
        </row>
        <row r="52">
          <cell r="B52">
            <v>2016</v>
          </cell>
          <cell r="C52">
            <v>8641249.4299999997</v>
          </cell>
          <cell r="D52">
            <v>4587960.28</v>
          </cell>
        </row>
        <row r="53">
          <cell r="B53">
            <v>2017</v>
          </cell>
          <cell r="C53">
            <v>10430333.470000001</v>
          </cell>
          <cell r="D53">
            <v>5479977.2000000002</v>
          </cell>
        </row>
        <row r="54">
          <cell r="B54">
            <v>2018</v>
          </cell>
          <cell r="C54">
            <v>10057123.560000001</v>
          </cell>
          <cell r="D54">
            <v>5186521.58</v>
          </cell>
        </row>
        <row r="55">
          <cell r="B55">
            <v>2019</v>
          </cell>
          <cell r="C55">
            <v>9377816.7300000004</v>
          </cell>
          <cell r="D55">
            <v>4812850.0199999996</v>
          </cell>
        </row>
        <row r="57">
          <cell r="B57">
            <v>2020</v>
          </cell>
          <cell r="C57">
            <v>12232773.289999999</v>
          </cell>
          <cell r="D57">
            <v>6004506.71</v>
          </cell>
        </row>
        <row r="58">
          <cell r="B58" t="str">
            <v>5 yr avg (16-20)</v>
          </cell>
          <cell r="C58">
            <v>10147859.296</v>
          </cell>
          <cell r="D58">
            <v>5214363.1579999998</v>
          </cell>
        </row>
        <row r="74">
          <cell r="B74" t="str">
            <v>Customer Count (5 yr avg)</v>
          </cell>
          <cell r="C74">
            <v>19366.599999999999</v>
          </cell>
        </row>
        <row r="75">
          <cell r="B75" t="str">
            <v>Payment Total (5 yr avg)</v>
          </cell>
          <cell r="C75">
            <v>10147859.296</v>
          </cell>
        </row>
        <row r="76">
          <cell r="B76" t="str">
            <v>Avg Pmt Amt (5 yr avg)</v>
          </cell>
          <cell r="C76">
            <v>523.98765379571023</v>
          </cell>
        </row>
        <row r="77">
          <cell r="B77" t="str">
            <v>Payments (5 yr avg)</v>
          </cell>
          <cell r="C77">
            <v>32910.6</v>
          </cell>
        </row>
        <row r="78">
          <cell r="B78" t="str">
            <v>Customer Count (2020)</v>
          </cell>
          <cell r="C78">
            <v>23446</v>
          </cell>
        </row>
        <row r="79">
          <cell r="B79" t="str">
            <v>Payment Total (2020)</v>
          </cell>
          <cell r="C79">
            <v>12232773.289999999</v>
          </cell>
        </row>
        <row r="80">
          <cell r="B80" t="str">
            <v>Avg Pmt Amt (2020)</v>
          </cell>
          <cell r="C80">
            <v>521.74244178111405</v>
          </cell>
        </row>
        <row r="81">
          <cell r="B81" t="str">
            <v>Payments (2020)</v>
          </cell>
          <cell r="C81">
            <v>38666</v>
          </cell>
        </row>
        <row r="86">
          <cell r="B86" t="str">
            <v>Eligible Households*</v>
          </cell>
          <cell r="C86">
            <v>94387</v>
          </cell>
        </row>
        <row r="87">
          <cell r="B87" t="str">
            <v>4 Year Avg. (16-19)</v>
          </cell>
          <cell r="C87">
            <v>0.20518291713901277</v>
          </cell>
        </row>
        <row r="88">
          <cell r="B88">
            <v>2020</v>
          </cell>
          <cell r="C88">
            <v>0.24840285208768156</v>
          </cell>
        </row>
        <row r="89">
          <cell r="B89" t="str">
            <v>Total</v>
          </cell>
          <cell r="C89">
            <v>0</v>
          </cell>
        </row>
        <row r="94">
          <cell r="C94" t="str">
            <v>All Customers</v>
          </cell>
          <cell r="D94" t="str">
            <v>Named Communities</v>
          </cell>
        </row>
        <row r="104">
          <cell r="B104">
            <v>2016</v>
          </cell>
          <cell r="C104">
            <v>0.18691133312850286</v>
          </cell>
          <cell r="D104">
            <v>0.10179843538306892</v>
          </cell>
        </row>
        <row r="105">
          <cell r="B105">
            <v>2017</v>
          </cell>
          <cell r="C105">
            <v>0.20430779662453516</v>
          </cell>
          <cell r="D105">
            <v>0.11001485949040689</v>
          </cell>
        </row>
        <row r="106">
          <cell r="B106">
            <v>2018</v>
          </cell>
          <cell r="C106">
            <v>0.19527053513725406</v>
          </cell>
          <cell r="D106">
            <v>0.10343734976618155</v>
          </cell>
        </row>
        <row r="107">
          <cell r="B107">
            <v>2019</v>
          </cell>
          <cell r="C107">
            <v>0.19102206871709027</v>
          </cell>
          <cell r="D107">
            <v>0.10129583497224771</v>
          </cell>
        </row>
        <row r="108">
          <cell r="B108">
            <v>2020</v>
          </cell>
          <cell r="C108">
            <v>0.24840285208768156</v>
          </cell>
          <cell r="D108">
            <v>0.12426248852759932</v>
          </cell>
        </row>
      </sheetData>
      <sheetData sheetId="1">
        <row r="20">
          <cell r="E20">
            <v>2016</v>
          </cell>
          <cell r="F20">
            <v>2017</v>
          </cell>
          <cell r="G20">
            <v>2018</v>
          </cell>
          <cell r="H20">
            <v>2019</v>
          </cell>
          <cell r="I20">
            <v>2020</v>
          </cell>
        </row>
        <row r="23">
          <cell r="D23" t="str">
            <v>All Customers</v>
          </cell>
          <cell r="E23">
            <v>8.5410718316496451E-2</v>
          </cell>
          <cell r="F23">
            <v>9.6512147566334056E-2</v>
          </cell>
          <cell r="G23">
            <v>8.9620284786410195E-2</v>
          </cell>
          <cell r="H23">
            <v>9.8221726420127609E-2</v>
          </cell>
          <cell r="I23">
            <v>9.311257110101856E-2</v>
          </cell>
        </row>
        <row r="24">
          <cell r="D24" t="str">
            <v>Named Communities</v>
          </cell>
          <cell r="E24">
            <v>0.12739396561597291</v>
          </cell>
          <cell r="F24">
            <v>0.14962004518381597</v>
          </cell>
          <cell r="G24">
            <v>0.13548731914027207</v>
          </cell>
          <cell r="H24">
            <v>0.12998994693508775</v>
          </cell>
          <cell r="I24">
            <v>0.14968886400366491</v>
          </cell>
        </row>
        <row r="31">
          <cell r="B31">
            <v>2016</v>
          </cell>
          <cell r="C31">
            <v>2017</v>
          </cell>
          <cell r="D31">
            <v>2018</v>
          </cell>
          <cell r="E31">
            <v>2019</v>
          </cell>
          <cell r="F31">
            <v>2020</v>
          </cell>
        </row>
        <row r="38">
          <cell r="A38" t="str">
            <v>All Customers Other Programs %</v>
          </cell>
          <cell r="B38">
            <v>7.5637273731689637E-3</v>
          </cell>
          <cell r="C38">
            <v>1.226819168752892E-2</v>
          </cell>
          <cell r="D38">
            <v>9.8012428178865848E-3</v>
          </cell>
          <cell r="E38">
            <v>9.8195270577134224E-3</v>
          </cell>
          <cell r="F38">
            <v>3.3070241192292428E-3</v>
          </cell>
        </row>
        <row r="39">
          <cell r="A39" t="str">
            <v>All Customers EA Programs %</v>
          </cell>
          <cell r="B39">
            <v>6.9863496501281083E-2</v>
          </cell>
          <cell r="C39">
            <v>7.6266862831175924E-2</v>
          </cell>
          <cell r="D39">
            <v>7.1942137147139651E-2</v>
          </cell>
          <cell r="E39">
            <v>7.94998081951383E-2</v>
          </cell>
          <cell r="F39">
            <v>8.0898628687331886E-2</v>
          </cell>
        </row>
        <row r="40">
          <cell r="A40" t="str">
            <v>Named Communiites Other Programs</v>
          </cell>
          <cell r="B40">
            <v>8.8314266444396369E-3</v>
          </cell>
          <cell r="C40">
            <v>1.9087594988704045E-2</v>
          </cell>
          <cell r="D40">
            <v>1.5015970375272006E-2</v>
          </cell>
          <cell r="E40">
            <v>1.2012776300217604E-2</v>
          </cell>
          <cell r="F40">
            <v>4.9629054630136293E-3</v>
          </cell>
        </row>
        <row r="41">
          <cell r="A41" t="str">
            <v>Named Communities EA Programs</v>
          </cell>
          <cell r="B41">
            <v>0.11856253897153328</v>
          </cell>
          <cell r="C41">
            <v>0.13053245019511192</v>
          </cell>
          <cell r="D41">
            <v>0.12047134876500007</v>
          </cell>
          <cell r="E41">
            <v>0.11797717063487013</v>
          </cell>
          <cell r="F41">
            <v>0.14472595854065129</v>
          </cell>
        </row>
        <row r="67">
          <cell r="C67" t="str">
            <v>Supplier Diversity %</v>
          </cell>
        </row>
        <row r="68">
          <cell r="C68" t="str">
            <v>Small Business %</v>
          </cell>
          <cell r="D68">
            <v>2020</v>
          </cell>
          <cell r="E68" t="str">
            <v>2021 YTD (June)</v>
          </cell>
        </row>
        <row r="69">
          <cell r="C69" t="str">
            <v>Community %</v>
          </cell>
          <cell r="D69">
            <v>1.6E-2</v>
          </cell>
          <cell r="E69">
            <v>5.8999999999999997E-2</v>
          </cell>
        </row>
        <row r="70">
          <cell r="D70">
            <v>5.6000000000000001E-2</v>
          </cell>
          <cell r="E70">
            <v>6.7000000000000004E-2</v>
          </cell>
        </row>
        <row r="71">
          <cell r="D71">
            <v>0.16</v>
          </cell>
          <cell r="E71">
            <v>0.192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8D5B-66A5-4A06-AAAF-48BAD49FA22E}">
  <dimension ref="A1"/>
  <sheetViews>
    <sheetView tabSelected="1" workbookViewId="0">
      <selection activeCell="J21" sqref="J21"/>
    </sheetView>
  </sheetViews>
  <sheetFormatPr defaultRowHeight="14.25" x14ac:dyDescent="0.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BB92-C82C-49AE-8B99-0E8F981192DF}">
  <dimension ref="D23:I33"/>
  <sheetViews>
    <sheetView topLeftCell="C10" workbookViewId="0">
      <selection activeCell="K29" sqref="K29"/>
    </sheetView>
  </sheetViews>
  <sheetFormatPr defaultRowHeight="14.25" x14ac:dyDescent="0.45"/>
  <cols>
    <col min="4" max="4" width="12.86328125" customWidth="1"/>
    <col min="5" max="9" width="11.265625" bestFit="1" customWidth="1"/>
    <col min="12" max="12" width="9.59765625" customWidth="1"/>
  </cols>
  <sheetData>
    <row r="23" spans="4:9" ht="14.65" thickBot="1" x14ac:dyDescent="0.5"/>
    <row r="24" spans="4:9" ht="27.75" thickTop="1" thickBot="1" x14ac:dyDescent="0.5">
      <c r="D24" s="6" t="s">
        <v>8</v>
      </c>
      <c r="E24" s="7">
        <v>2016</v>
      </c>
      <c r="F24" s="7">
        <v>2017</v>
      </c>
      <c r="G24" s="7">
        <v>2018</v>
      </c>
      <c r="H24" s="7">
        <v>2019</v>
      </c>
      <c r="I24" s="7">
        <v>2020</v>
      </c>
    </row>
    <row r="25" spans="4:9" ht="14.65" thickBot="1" x14ac:dyDescent="0.5">
      <c r="D25" s="8" t="s">
        <v>9</v>
      </c>
      <c r="E25" s="105">
        <v>835</v>
      </c>
      <c r="F25" s="105">
        <v>1270</v>
      </c>
      <c r="G25" s="105">
        <v>2879</v>
      </c>
      <c r="H25" s="105">
        <v>3101</v>
      </c>
      <c r="I25" s="105">
        <v>0</v>
      </c>
    </row>
    <row r="26" spans="4:9" ht="14.65" thickBot="1" x14ac:dyDescent="0.5">
      <c r="D26" s="8" t="s">
        <v>10</v>
      </c>
      <c r="E26" s="105">
        <v>5563</v>
      </c>
      <c r="F26" s="105">
        <v>5560</v>
      </c>
      <c r="G26" s="105">
        <v>3187</v>
      </c>
      <c r="H26" s="105">
        <v>2289</v>
      </c>
      <c r="I26" s="105">
        <v>7619</v>
      </c>
    </row>
    <row r="27" spans="4:9" ht="14.65" thickBot="1" x14ac:dyDescent="0.5">
      <c r="D27" s="8" t="s">
        <v>11</v>
      </c>
      <c r="E27" s="105">
        <v>2745</v>
      </c>
      <c r="F27" s="105">
        <v>3227</v>
      </c>
      <c r="G27" s="105">
        <v>4702</v>
      </c>
      <c r="H27" s="105">
        <v>3602</v>
      </c>
      <c r="I27" s="105">
        <v>455</v>
      </c>
    </row>
    <row r="28" spans="4:9" ht="14.65" thickBot="1" x14ac:dyDescent="0.5">
      <c r="D28" s="8" t="s">
        <v>12</v>
      </c>
      <c r="E28" s="105">
        <v>619</v>
      </c>
      <c r="F28" s="105">
        <v>1031</v>
      </c>
      <c r="G28" s="105">
        <v>986</v>
      </c>
      <c r="H28" s="105">
        <v>1401</v>
      </c>
      <c r="I28" s="105">
        <v>224</v>
      </c>
    </row>
    <row r="31" spans="4:9" x14ac:dyDescent="0.45">
      <c r="D31" s="101" t="s">
        <v>550</v>
      </c>
      <c r="E31" s="102"/>
      <c r="F31" s="102"/>
      <c r="G31" s="102"/>
      <c r="H31" s="102"/>
    </row>
    <row r="32" spans="4:9" x14ac:dyDescent="0.45">
      <c r="D32" s="102"/>
      <c r="E32" s="102"/>
      <c r="F32" s="102"/>
      <c r="G32" s="102"/>
      <c r="H32" s="102"/>
    </row>
    <row r="33" ht="23.45" customHeight="1" x14ac:dyDescent="0.45"/>
  </sheetData>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6488-1022-4126-9394-AFCB40EF3CB0}">
  <dimension ref="A1:F7"/>
  <sheetViews>
    <sheetView workbookViewId="0">
      <selection activeCell="A7" sqref="A7:C7"/>
    </sheetView>
  </sheetViews>
  <sheetFormatPr defaultRowHeight="14.25" x14ac:dyDescent="0.45"/>
  <cols>
    <col min="1" max="6" width="15.33203125" customWidth="1"/>
  </cols>
  <sheetData>
    <row r="1" spans="1:6" ht="14.65" thickBot="1" x14ac:dyDescent="0.5"/>
    <row r="2" spans="1:6" ht="26.65" thickBot="1" x14ac:dyDescent="0.5">
      <c r="A2" s="244" t="s">
        <v>644</v>
      </c>
      <c r="B2" s="245">
        <v>2016</v>
      </c>
      <c r="C2" s="245">
        <v>2017</v>
      </c>
      <c r="D2" s="245">
        <v>2018</v>
      </c>
      <c r="E2" s="245">
        <v>2019</v>
      </c>
      <c r="F2" s="245">
        <v>2020</v>
      </c>
    </row>
    <row r="3" spans="1:6" ht="13.9" customHeight="1" thickBot="1" x14ac:dyDescent="0.5">
      <c r="A3" s="246" t="s">
        <v>548</v>
      </c>
      <c r="B3" s="247">
        <v>52572500</v>
      </c>
      <c r="C3" s="247">
        <v>30084800</v>
      </c>
      <c r="D3" s="247">
        <v>30843300</v>
      </c>
      <c r="E3" s="247">
        <v>55041100</v>
      </c>
      <c r="F3" s="247">
        <v>9418700</v>
      </c>
    </row>
    <row r="4" spans="1:6" ht="13.9" customHeight="1" thickBot="1" x14ac:dyDescent="0.5">
      <c r="A4" s="246" t="s">
        <v>2</v>
      </c>
      <c r="B4" s="247">
        <v>3511000</v>
      </c>
      <c r="C4" s="247">
        <v>437000</v>
      </c>
      <c r="D4" s="247">
        <v>882800</v>
      </c>
      <c r="E4" s="247">
        <v>1257900</v>
      </c>
      <c r="F4" s="247">
        <v>3061900</v>
      </c>
    </row>
    <row r="5" spans="1:6" ht="14.65" thickBot="1" x14ac:dyDescent="0.5">
      <c r="A5" s="246" t="s">
        <v>5</v>
      </c>
      <c r="B5" s="247">
        <v>56083500</v>
      </c>
      <c r="C5" s="247">
        <v>30521800</v>
      </c>
      <c r="D5" s="247">
        <v>31726100</v>
      </c>
      <c r="E5" s="247">
        <v>56299000</v>
      </c>
      <c r="F5" s="247">
        <v>12480600</v>
      </c>
    </row>
    <row r="7" spans="1:6" ht="38.25" customHeight="1" x14ac:dyDescent="0.45">
      <c r="A7" s="253" t="s">
        <v>653</v>
      </c>
      <c r="B7" s="253"/>
      <c r="C7" s="253"/>
    </row>
  </sheetData>
  <mergeCells count="1">
    <mergeCell ref="A7:C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7AFC3-84B7-45A9-B733-1E9E3A5A9E96}">
  <dimension ref="A1:F6"/>
  <sheetViews>
    <sheetView workbookViewId="0">
      <selection activeCell="A6" sqref="A6"/>
    </sheetView>
  </sheetViews>
  <sheetFormatPr defaultRowHeight="14.25" x14ac:dyDescent="0.45"/>
  <cols>
    <col min="1" max="1" width="41.19921875" customWidth="1"/>
    <col min="2" max="6" width="11.19921875" customWidth="1"/>
  </cols>
  <sheetData>
    <row r="1" spans="1:6" ht="14.65" thickBot="1" x14ac:dyDescent="0.5">
      <c r="A1" s="235" t="s">
        <v>645</v>
      </c>
      <c r="B1" s="248">
        <v>2017</v>
      </c>
      <c r="C1" s="248">
        <v>2018</v>
      </c>
      <c r="D1" s="248">
        <v>2019</v>
      </c>
      <c r="E1" s="248">
        <v>2020</v>
      </c>
      <c r="F1" s="248">
        <v>2021</v>
      </c>
    </row>
    <row r="2" spans="1:6" ht="13.25" customHeight="1" thickBot="1" x14ac:dyDescent="0.5">
      <c r="A2" s="103" t="s">
        <v>646</v>
      </c>
      <c r="B2" s="249">
        <v>0</v>
      </c>
      <c r="C2" s="249">
        <v>851</v>
      </c>
      <c r="D2" s="249">
        <v>1429</v>
      </c>
      <c r="E2" s="249">
        <v>334</v>
      </c>
      <c r="F2" s="249">
        <v>365</v>
      </c>
    </row>
    <row r="3" spans="1:6" ht="13.25" customHeight="1" thickBot="1" x14ac:dyDescent="0.5">
      <c r="A3" s="103" t="s">
        <v>647</v>
      </c>
      <c r="B3" s="249">
        <v>0</v>
      </c>
      <c r="C3" s="250">
        <v>13762</v>
      </c>
      <c r="D3" s="250">
        <v>28763</v>
      </c>
      <c r="E3" s="250">
        <v>8925</v>
      </c>
      <c r="F3" s="250">
        <v>10378</v>
      </c>
    </row>
    <row r="4" spans="1:6" ht="13.25" customHeight="1" thickBot="1" x14ac:dyDescent="0.5">
      <c r="A4" s="103" t="s">
        <v>648</v>
      </c>
      <c r="B4" s="249">
        <v>0</v>
      </c>
      <c r="C4" s="249">
        <v>19</v>
      </c>
      <c r="D4" s="249">
        <v>15</v>
      </c>
      <c r="E4" s="249">
        <v>0</v>
      </c>
      <c r="F4" s="249">
        <v>0</v>
      </c>
    </row>
    <row r="6" spans="1:6" x14ac:dyDescent="0.45">
      <c r="A6" s="251" t="s">
        <v>649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D783C-FF5A-4BFB-AEBF-FA35CAE1E2F4}">
  <dimension ref="A1:S36"/>
  <sheetViews>
    <sheetView topLeftCell="B1" workbookViewId="0">
      <selection activeCell="O20" sqref="O20:S20"/>
    </sheetView>
  </sheetViews>
  <sheetFormatPr defaultRowHeight="14.25" x14ac:dyDescent="0.45"/>
  <cols>
    <col min="1" max="1" width="70.59765625" bestFit="1" customWidth="1"/>
    <col min="2" max="6" width="10.86328125" bestFit="1" customWidth="1"/>
    <col min="7" max="7" width="12" bestFit="1" customWidth="1"/>
    <col min="8" max="11" width="10.86328125" customWidth="1"/>
    <col min="12" max="12" width="9.86328125" bestFit="1" customWidth="1"/>
  </cols>
  <sheetData>
    <row r="1" spans="1:15" x14ac:dyDescent="0.45">
      <c r="A1" s="82" t="s">
        <v>448</v>
      </c>
    </row>
    <row r="2" spans="1:15" x14ac:dyDescent="0.45">
      <c r="A2" t="s">
        <v>449</v>
      </c>
      <c r="O2" t="s">
        <v>450</v>
      </c>
    </row>
    <row r="3" spans="1:15" x14ac:dyDescent="0.45">
      <c r="A3" t="s">
        <v>451</v>
      </c>
      <c r="G3" t="s">
        <v>452</v>
      </c>
      <c r="H3" s="83">
        <v>0.95399999999999996</v>
      </c>
      <c r="I3" s="83">
        <v>0.95399999999999996</v>
      </c>
      <c r="J3" s="83">
        <v>0.95399999999999996</v>
      </c>
      <c r="K3" s="83">
        <v>0.95399999999999996</v>
      </c>
      <c r="L3" s="83">
        <v>0.95399999999999996</v>
      </c>
    </row>
    <row r="4" spans="1:15" x14ac:dyDescent="0.45">
      <c r="G4" t="s">
        <v>453</v>
      </c>
      <c r="H4" s="83">
        <v>0.65629999999999999</v>
      </c>
      <c r="I4" s="83">
        <v>0.6573</v>
      </c>
      <c r="J4" s="83">
        <v>0.65349999999999997</v>
      </c>
      <c r="K4" s="83">
        <v>0.65390000000000004</v>
      </c>
      <c r="L4" s="83">
        <v>0.65539999999999998</v>
      </c>
    </row>
    <row r="5" spans="1:15" x14ac:dyDescent="0.45">
      <c r="A5" t="s">
        <v>454</v>
      </c>
      <c r="B5" s="84">
        <v>2016</v>
      </c>
      <c r="C5" s="84">
        <v>2017</v>
      </c>
      <c r="D5" s="84">
        <v>2018</v>
      </c>
      <c r="E5" s="84">
        <v>2019</v>
      </c>
      <c r="F5" s="84">
        <v>2020</v>
      </c>
      <c r="G5" s="84"/>
      <c r="H5" s="84">
        <v>2016</v>
      </c>
      <c r="I5" s="84">
        <v>2017</v>
      </c>
      <c r="J5" s="84">
        <v>2018</v>
      </c>
      <c r="K5" s="84">
        <v>2019</v>
      </c>
      <c r="L5" s="84">
        <v>2020</v>
      </c>
    </row>
    <row r="6" spans="1:15" x14ac:dyDescent="0.45">
      <c r="A6" t="s">
        <v>455</v>
      </c>
      <c r="B6" s="4">
        <v>182385</v>
      </c>
      <c r="C6" s="4">
        <v>183422</v>
      </c>
      <c r="D6" s="4">
        <v>166423</v>
      </c>
      <c r="E6" s="4">
        <v>163998</v>
      </c>
      <c r="F6" s="4">
        <v>212533</v>
      </c>
      <c r="G6" s="4"/>
      <c r="H6" s="4">
        <f>B6*$H$4</f>
        <v>119699.2755</v>
      </c>
      <c r="I6" s="4">
        <f>C6*$I$4</f>
        <v>120563.2806</v>
      </c>
      <c r="J6" s="4">
        <f>D6*$J$4</f>
        <v>108757.4305</v>
      </c>
      <c r="K6" s="4">
        <f>E6*$K$4</f>
        <v>107238.29220000001</v>
      </c>
      <c r="L6" s="4">
        <f>F6*$L$4</f>
        <v>139294.12820000001</v>
      </c>
    </row>
    <row r="7" spans="1:15" x14ac:dyDescent="0.45">
      <c r="A7" t="s">
        <v>456</v>
      </c>
      <c r="B7" s="4">
        <v>108780</v>
      </c>
      <c r="C7" s="4">
        <v>114367</v>
      </c>
      <c r="D7" s="4">
        <v>143308</v>
      </c>
      <c r="E7" s="4">
        <v>119575</v>
      </c>
      <c r="F7" s="4">
        <v>117927</v>
      </c>
      <c r="G7" s="4"/>
      <c r="H7" s="4">
        <f t="shared" ref="H7:H10" si="0">B7*$H$4</f>
        <v>71392.313999999998</v>
      </c>
      <c r="I7" s="4">
        <f t="shared" ref="I7:I10" si="1">C7*$I$4</f>
        <v>75173.429099999994</v>
      </c>
      <c r="J7" s="4">
        <f t="shared" ref="J7:J10" si="2">D7*$J$4</f>
        <v>93651.777999999991</v>
      </c>
      <c r="K7" s="4">
        <f t="shared" ref="K7:K10" si="3">E7*$K$4</f>
        <v>78190.092499999999</v>
      </c>
      <c r="L7" s="4">
        <f t="shared" ref="L7:L10" si="4">F7*$L$4</f>
        <v>77289.355800000005</v>
      </c>
    </row>
    <row r="8" spans="1:15" x14ac:dyDescent="0.45">
      <c r="A8" t="s">
        <v>457</v>
      </c>
      <c r="B8" s="4">
        <v>62708</v>
      </c>
      <c r="C8" s="4">
        <v>68396</v>
      </c>
      <c r="D8" s="4">
        <v>61161</v>
      </c>
      <c r="E8" s="4">
        <v>66538</v>
      </c>
      <c r="F8" s="4">
        <v>58141</v>
      </c>
      <c r="G8" s="4"/>
      <c r="H8" s="4">
        <f t="shared" si="0"/>
        <v>41155.260399999999</v>
      </c>
      <c r="I8" s="4">
        <f t="shared" si="1"/>
        <v>44956.690799999997</v>
      </c>
      <c r="J8" s="4">
        <f t="shared" si="2"/>
        <v>39968.713499999998</v>
      </c>
      <c r="K8" s="4">
        <f t="shared" si="3"/>
        <v>43509.198199999999</v>
      </c>
      <c r="L8" s="4">
        <f t="shared" si="4"/>
        <v>38105.611400000002</v>
      </c>
    </row>
    <row r="9" spans="1:15" x14ac:dyDescent="0.45">
      <c r="A9" t="s">
        <v>458</v>
      </c>
      <c r="B9" s="4">
        <v>96851</v>
      </c>
      <c r="C9" s="4">
        <v>95459</v>
      </c>
      <c r="D9" s="4">
        <v>81033</v>
      </c>
      <c r="E9" s="4">
        <v>98076</v>
      </c>
      <c r="F9" s="4">
        <v>83100</v>
      </c>
      <c r="G9" s="4"/>
      <c r="H9" s="4">
        <f t="shared" si="0"/>
        <v>63563.311300000001</v>
      </c>
      <c r="I9" s="4">
        <f t="shared" si="1"/>
        <v>62745.200700000001</v>
      </c>
      <c r="J9" s="4">
        <f t="shared" si="2"/>
        <v>52955.065499999997</v>
      </c>
      <c r="K9" s="4">
        <f t="shared" si="3"/>
        <v>64131.896400000005</v>
      </c>
      <c r="L9" s="4">
        <f t="shared" si="4"/>
        <v>54463.74</v>
      </c>
    </row>
    <row r="10" spans="1:15" x14ac:dyDescent="0.45">
      <c r="A10" t="s">
        <v>459</v>
      </c>
      <c r="B10" s="4">
        <v>1087</v>
      </c>
      <c r="C10" s="4">
        <v>390</v>
      </c>
      <c r="D10" s="4">
        <v>1515</v>
      </c>
      <c r="E10" s="4">
        <v>3459</v>
      </c>
      <c r="F10" s="4">
        <v>666</v>
      </c>
      <c r="G10" s="4"/>
      <c r="H10" s="4">
        <f t="shared" si="0"/>
        <v>713.3981</v>
      </c>
      <c r="I10" s="4">
        <f t="shared" si="1"/>
        <v>256.34699999999998</v>
      </c>
      <c r="J10" s="4">
        <f t="shared" si="2"/>
        <v>990.05250000000001</v>
      </c>
      <c r="K10" s="4">
        <f t="shared" si="3"/>
        <v>2261.8401000000003</v>
      </c>
      <c r="L10" s="4">
        <f t="shared" si="4"/>
        <v>436.49639999999999</v>
      </c>
    </row>
    <row r="11" spans="1:15" x14ac:dyDescent="0.45">
      <c r="A11" t="s">
        <v>460</v>
      </c>
      <c r="B11" s="4">
        <f>341370</f>
        <v>341370</v>
      </c>
      <c r="C11" s="4">
        <f>290117</f>
        <v>290117</v>
      </c>
      <c r="D11" s="4">
        <f>336936</f>
        <v>336936</v>
      </c>
      <c r="E11" s="4">
        <f>316112</f>
        <v>316112</v>
      </c>
      <c r="F11" s="4">
        <f>264851</f>
        <v>264851</v>
      </c>
      <c r="G11" s="4"/>
      <c r="H11" s="4">
        <f>B11*$H$4*H3</f>
        <v>213735.23897399998</v>
      </c>
      <c r="I11" s="4">
        <f t="shared" ref="I11:L11" si="5">C11*$H$4*I3</f>
        <v>181645.21289339999</v>
      </c>
      <c r="J11" s="4">
        <f t="shared" si="5"/>
        <v>210959.06634719999</v>
      </c>
      <c r="K11" s="4">
        <f t="shared" si="5"/>
        <v>197920.94754239998</v>
      </c>
      <c r="L11" s="4">
        <f t="shared" si="5"/>
        <v>165825.91258019998</v>
      </c>
    </row>
    <row r="12" spans="1:15" x14ac:dyDescent="0.45">
      <c r="A12" t="s">
        <v>461</v>
      </c>
      <c r="B12" s="4">
        <v>54960</v>
      </c>
      <c r="C12" s="4">
        <v>45390</v>
      </c>
      <c r="D12" s="4">
        <v>49931.000000000007</v>
      </c>
      <c r="E12" s="4">
        <v>36888</v>
      </c>
      <c r="F12" s="4">
        <v>47621</v>
      </c>
      <c r="G12" s="4"/>
      <c r="H12" s="4">
        <f t="shared" ref="H12" si="6">B12*$H$4</f>
        <v>36070.248</v>
      </c>
      <c r="I12" s="4">
        <f t="shared" ref="I12" si="7">C12*$I$4</f>
        <v>29834.847000000002</v>
      </c>
      <c r="J12" s="4">
        <f t="shared" ref="J12" si="8">D12*$J$4</f>
        <v>32629.908500000005</v>
      </c>
      <c r="K12" s="4">
        <f t="shared" ref="K12" si="9">E12*$K$4</f>
        <v>24121.063200000001</v>
      </c>
      <c r="L12" s="4">
        <f t="shared" ref="L12" si="10">F12*$L$4</f>
        <v>31210.803400000001</v>
      </c>
    </row>
    <row r="13" spans="1:15" x14ac:dyDescent="0.45">
      <c r="A13" t="s">
        <v>462</v>
      </c>
      <c r="B13" s="4">
        <v>0</v>
      </c>
      <c r="C13" s="4">
        <v>0</v>
      </c>
      <c r="D13" s="4">
        <v>1614</v>
      </c>
      <c r="E13" s="4">
        <v>42346</v>
      </c>
      <c r="F13" s="4">
        <v>45281</v>
      </c>
      <c r="G13" s="4"/>
      <c r="H13" s="4">
        <f>B13</f>
        <v>0</v>
      </c>
      <c r="I13" s="4">
        <f>C13</f>
        <v>0</v>
      </c>
      <c r="J13" s="4">
        <f>D13</f>
        <v>1614</v>
      </c>
      <c r="K13" s="4">
        <f>E13</f>
        <v>42346</v>
      </c>
      <c r="L13" s="4">
        <f>F13</f>
        <v>45281</v>
      </c>
    </row>
    <row r="14" spans="1:15" x14ac:dyDescent="0.45">
      <c r="A14" t="s">
        <v>463</v>
      </c>
      <c r="B14" s="4">
        <v>0</v>
      </c>
      <c r="C14" s="4">
        <v>0</v>
      </c>
      <c r="D14" s="4">
        <v>0</v>
      </c>
      <c r="E14" s="4">
        <v>0</v>
      </c>
      <c r="F14" s="4">
        <v>37157</v>
      </c>
      <c r="G14" s="4"/>
      <c r="H14" s="4">
        <f t="shared" ref="H14:H18" si="11">B14*$H$4</f>
        <v>0</v>
      </c>
      <c r="I14" s="4">
        <f t="shared" ref="I14:I18" si="12">C14*$I$4</f>
        <v>0</v>
      </c>
      <c r="J14" s="4">
        <f t="shared" ref="J14:J18" si="13">D14*$J$4</f>
        <v>0</v>
      </c>
      <c r="K14" s="4">
        <f t="shared" ref="K14:K18" si="14">E14*$K$4</f>
        <v>0</v>
      </c>
      <c r="L14" s="4">
        <f t="shared" ref="L14:L18" si="15">F14*$L$4</f>
        <v>24352.697799999998</v>
      </c>
    </row>
    <row r="15" spans="1:15" x14ac:dyDescent="0.45">
      <c r="A15" t="s">
        <v>464</v>
      </c>
      <c r="B15" s="4">
        <v>10034.27</v>
      </c>
      <c r="C15" s="4">
        <v>11024.87</v>
      </c>
      <c r="D15" s="4">
        <v>10212.51</v>
      </c>
      <c r="E15" s="4">
        <v>9414.32</v>
      </c>
      <c r="F15" s="4">
        <v>11444.71</v>
      </c>
      <c r="G15" s="4"/>
      <c r="H15" s="4">
        <f t="shared" si="11"/>
        <v>6585.4914010000002</v>
      </c>
      <c r="I15" s="4">
        <f t="shared" si="12"/>
        <v>7246.6470510000008</v>
      </c>
      <c r="J15" s="4">
        <f t="shared" si="13"/>
        <v>6673.8752850000001</v>
      </c>
      <c r="K15" s="4">
        <f t="shared" si="14"/>
        <v>6156.0238479999998</v>
      </c>
      <c r="L15" s="4">
        <f t="shared" si="15"/>
        <v>7500.8629339999989</v>
      </c>
    </row>
    <row r="16" spans="1:15" x14ac:dyDescent="0.45">
      <c r="A16" t="s">
        <v>465</v>
      </c>
      <c r="B16" s="4">
        <v>0</v>
      </c>
      <c r="C16" s="4">
        <v>121.44</v>
      </c>
      <c r="D16" s="4">
        <v>127.5</v>
      </c>
      <c r="E16" s="4">
        <v>139.08000000000001</v>
      </c>
      <c r="F16" s="4">
        <v>322.2</v>
      </c>
      <c r="G16" s="4"/>
      <c r="H16" s="4">
        <f t="shared" si="11"/>
        <v>0</v>
      </c>
      <c r="I16" s="4">
        <f t="shared" si="12"/>
        <v>79.822512000000003</v>
      </c>
      <c r="J16" s="4">
        <f t="shared" si="13"/>
        <v>83.321249999999992</v>
      </c>
      <c r="K16" s="4">
        <f t="shared" si="14"/>
        <v>90.944412000000014</v>
      </c>
      <c r="L16" s="4">
        <f t="shared" si="15"/>
        <v>211.16987999999998</v>
      </c>
    </row>
    <row r="17" spans="1:19" x14ac:dyDescent="0.45">
      <c r="A17" t="s">
        <v>466</v>
      </c>
      <c r="B17" s="4">
        <v>10607.07034</v>
      </c>
      <c r="C17" s="4">
        <v>7313.3421900000003</v>
      </c>
      <c r="D17" s="4">
        <v>6223.8453100000006</v>
      </c>
      <c r="E17" s="4">
        <v>6804.3608700000013</v>
      </c>
      <c r="F17" s="4">
        <v>8356.1369100000029</v>
      </c>
      <c r="G17" s="4"/>
      <c r="H17" s="4">
        <f t="shared" si="11"/>
        <v>6961.4202641419997</v>
      </c>
      <c r="I17" s="4">
        <f t="shared" si="12"/>
        <v>4807.0598214870006</v>
      </c>
      <c r="J17" s="4">
        <f t="shared" si="13"/>
        <v>4067.2829100850004</v>
      </c>
      <c r="K17" s="4">
        <f t="shared" si="14"/>
        <v>4449.371572893001</v>
      </c>
      <c r="L17" s="4">
        <f t="shared" si="15"/>
        <v>5476.6121308140018</v>
      </c>
    </row>
    <row r="18" spans="1:19" x14ac:dyDescent="0.45">
      <c r="A18" t="s">
        <v>467</v>
      </c>
      <c r="B18" s="4">
        <v>42.408000000000001</v>
      </c>
      <c r="C18" s="4">
        <v>48.276000000000003</v>
      </c>
      <c r="D18" s="4">
        <v>56.042999999999999</v>
      </c>
      <c r="E18" s="4">
        <v>25.532</v>
      </c>
      <c r="F18" s="4">
        <v>26.538</v>
      </c>
      <c r="G18" s="4"/>
      <c r="H18" s="4">
        <f t="shared" si="11"/>
        <v>27.832370400000002</v>
      </c>
      <c r="I18" s="4">
        <f t="shared" si="12"/>
        <v>31.731814800000002</v>
      </c>
      <c r="J18" s="4">
        <f t="shared" si="13"/>
        <v>36.624100499999997</v>
      </c>
      <c r="K18" s="4">
        <f t="shared" si="14"/>
        <v>16.6953748</v>
      </c>
      <c r="L18" s="4">
        <f t="shared" si="15"/>
        <v>17.393005200000001</v>
      </c>
    </row>
    <row r="19" spans="1:19" x14ac:dyDescent="0.45">
      <c r="A19" t="s">
        <v>468</v>
      </c>
      <c r="B19" s="4">
        <v>309.49849999999998</v>
      </c>
      <c r="C19" s="4">
        <v>362.02499999999998</v>
      </c>
      <c r="D19" s="4">
        <v>188.78889999999998</v>
      </c>
      <c r="E19" s="4">
        <v>233.66871999999998</v>
      </c>
      <c r="F19" s="4">
        <v>51.676259999999999</v>
      </c>
      <c r="G19" s="85"/>
      <c r="H19" s="4">
        <f t="shared" ref="H19:L21" si="16">B19</f>
        <v>309.49849999999998</v>
      </c>
      <c r="I19" s="4">
        <f t="shared" si="16"/>
        <v>362.02499999999998</v>
      </c>
      <c r="J19" s="4">
        <f t="shared" si="16"/>
        <v>188.78889999999998</v>
      </c>
      <c r="K19" s="4">
        <f t="shared" si="16"/>
        <v>233.66871999999998</v>
      </c>
      <c r="L19" s="4">
        <f t="shared" si="16"/>
        <v>51.676259999999999</v>
      </c>
    </row>
    <row r="20" spans="1:19" x14ac:dyDescent="0.45">
      <c r="A20" t="s">
        <v>469</v>
      </c>
      <c r="B20" s="4">
        <v>2699.7531699999995</v>
      </c>
      <c r="C20" s="4">
        <v>6040.2445099999995</v>
      </c>
      <c r="D20" s="4">
        <v>4533.1856500000004</v>
      </c>
      <c r="E20" s="4">
        <v>2021.6506000000002</v>
      </c>
      <c r="F20" s="4">
        <v>464.40064000000001</v>
      </c>
      <c r="G20" s="85"/>
      <c r="H20" s="4">
        <f t="shared" si="16"/>
        <v>2699.7531699999995</v>
      </c>
      <c r="I20" s="4">
        <f t="shared" si="16"/>
        <v>6040.2445099999995</v>
      </c>
      <c r="J20" s="4">
        <f t="shared" si="16"/>
        <v>4533.1856500000004</v>
      </c>
      <c r="K20" s="4">
        <f t="shared" si="16"/>
        <v>2021.6506000000002</v>
      </c>
      <c r="L20" s="4">
        <f t="shared" si="16"/>
        <v>464.40064000000001</v>
      </c>
      <c r="O20" s="102" t="s">
        <v>652</v>
      </c>
      <c r="P20" s="102"/>
      <c r="Q20" s="102"/>
      <c r="R20" s="102"/>
      <c r="S20" s="102"/>
    </row>
    <row r="21" spans="1:19" x14ac:dyDescent="0.45">
      <c r="A21" t="s">
        <v>470</v>
      </c>
      <c r="B21" s="4"/>
      <c r="C21" s="4"/>
      <c r="D21" s="4"/>
      <c r="E21" s="4"/>
      <c r="F21" s="4"/>
      <c r="G21" s="4"/>
      <c r="H21" s="4">
        <f t="shared" si="16"/>
        <v>0</v>
      </c>
      <c r="I21" s="4">
        <f t="shared" si="16"/>
        <v>0</v>
      </c>
      <c r="J21" s="4">
        <f t="shared" si="16"/>
        <v>0</v>
      </c>
      <c r="K21" s="4">
        <f t="shared" si="16"/>
        <v>0</v>
      </c>
      <c r="L21" s="4">
        <f t="shared" si="16"/>
        <v>0</v>
      </c>
    </row>
    <row r="22" spans="1:19" x14ac:dyDescent="0.45">
      <c r="A22" t="s">
        <v>471</v>
      </c>
      <c r="B22" s="4"/>
      <c r="C22" s="4">
        <f>SUM($B19:B21)</f>
        <v>3009.2516699999996</v>
      </c>
      <c r="D22" s="4">
        <f>SUM($B19:C21)</f>
        <v>9411.5211799999997</v>
      </c>
      <c r="E22" s="4">
        <f>SUM($B19:D21)</f>
        <v>14133.495729999999</v>
      </c>
      <c r="F22" s="4">
        <f>SUM($B19:E21)</f>
        <v>16388.815050000001</v>
      </c>
      <c r="G22" s="4"/>
      <c r="H22" s="4"/>
      <c r="I22" s="4">
        <f>SUM($H19:H21)</f>
        <v>3009.2516699999996</v>
      </c>
      <c r="J22" s="4">
        <f>SUM($H19:I21)</f>
        <v>9411.5211799999997</v>
      </c>
      <c r="K22" s="4">
        <f>SUM($H19:J21)</f>
        <v>14133.495729999999</v>
      </c>
      <c r="L22" s="4">
        <f>SUM($H19:K21)</f>
        <v>16388.815050000001</v>
      </c>
    </row>
    <row r="23" spans="1:19" x14ac:dyDescent="0.45">
      <c r="A23" t="s">
        <v>545</v>
      </c>
      <c r="B23" s="4"/>
      <c r="C23" s="4"/>
      <c r="D23" s="4"/>
      <c r="E23" s="4"/>
      <c r="F23" s="4"/>
      <c r="G23" s="4"/>
      <c r="H23" s="4">
        <f>SUM(H18:H22)</f>
        <v>3037.0840403999996</v>
      </c>
      <c r="I23" s="4">
        <f t="shared" ref="I23:L23" si="17">SUM(I18:I22)</f>
        <v>9443.2529947999992</v>
      </c>
      <c r="J23" s="4">
        <f t="shared" si="17"/>
        <v>14170.1198305</v>
      </c>
      <c r="K23" s="4">
        <f t="shared" si="17"/>
        <v>16405.510424799999</v>
      </c>
      <c r="L23" s="4">
        <f t="shared" si="17"/>
        <v>16922.284955200001</v>
      </c>
    </row>
    <row r="24" spans="1:19" x14ac:dyDescent="0.45">
      <c r="A24" t="s">
        <v>546</v>
      </c>
      <c r="B24" s="4">
        <f>SUM(B6:B22)</f>
        <v>871834.00001000008</v>
      </c>
      <c r="C24" s="4">
        <f t="shared" ref="C24:F24" si="18">SUM(C6:C22)</f>
        <v>825460.44936999993</v>
      </c>
      <c r="D24" s="4">
        <f t="shared" si="18"/>
        <v>872674.39404000004</v>
      </c>
      <c r="E24" s="4">
        <f t="shared" si="18"/>
        <v>879764.10791999986</v>
      </c>
      <c r="F24" s="4">
        <f t="shared" si="18"/>
        <v>904331.47685999982</v>
      </c>
      <c r="G24" s="4"/>
      <c r="H24" s="4">
        <f>SUM(H6:H18)</f>
        <v>559903.79030954186</v>
      </c>
      <c r="I24" s="4">
        <f t="shared" ref="I24:L24" si="19">SUM(I6:I18)</f>
        <v>527340.26929268695</v>
      </c>
      <c r="J24" s="4">
        <f t="shared" si="19"/>
        <v>552387.11839278508</v>
      </c>
      <c r="K24" s="4">
        <f t="shared" si="19"/>
        <v>570432.36535009299</v>
      </c>
      <c r="L24" s="4">
        <f t="shared" si="19"/>
        <v>589465.78353021375</v>
      </c>
    </row>
    <row r="25" spans="1:19" x14ac:dyDescent="0.45">
      <c r="B25" s="1"/>
      <c r="C25" s="1"/>
      <c r="D25" s="1"/>
      <c r="E25" s="1"/>
      <c r="F25" s="1"/>
      <c r="G25" s="1"/>
      <c r="H25" s="1"/>
      <c r="I25" s="1"/>
      <c r="J25" s="1"/>
      <c r="K25" s="1"/>
    </row>
    <row r="26" spans="1:19" x14ac:dyDescent="0.45">
      <c r="A26" t="s">
        <v>472</v>
      </c>
      <c r="B26" s="85">
        <v>5578322</v>
      </c>
      <c r="C26" s="85">
        <v>5817351</v>
      </c>
      <c r="D26" s="85">
        <v>5608062</v>
      </c>
      <c r="E26" s="85">
        <v>5672876</v>
      </c>
      <c r="F26" s="85">
        <v>5461691</v>
      </c>
      <c r="G26" s="1"/>
      <c r="H26" s="4">
        <f t="shared" ref="H26:L29" si="20">B26</f>
        <v>5578322</v>
      </c>
      <c r="I26" s="4">
        <f t="shared" si="20"/>
        <v>5817351</v>
      </c>
      <c r="J26" s="4">
        <f t="shared" si="20"/>
        <v>5608062</v>
      </c>
      <c r="K26" s="4">
        <f t="shared" si="20"/>
        <v>5672876</v>
      </c>
      <c r="L26" s="4">
        <f t="shared" si="20"/>
        <v>5461691</v>
      </c>
      <c r="S26" s="11"/>
    </row>
    <row r="27" spans="1:19" x14ac:dyDescent="0.45">
      <c r="A27" t="s">
        <v>473</v>
      </c>
      <c r="B27" s="85">
        <v>681.20524</v>
      </c>
      <c r="C27" s="85">
        <v>1000.4635</v>
      </c>
      <c r="D27" s="85">
        <v>488.68892</v>
      </c>
      <c r="E27" s="85">
        <v>498.76941999999997</v>
      </c>
      <c r="F27" s="85">
        <v>181.97159999999997</v>
      </c>
      <c r="G27" s="85"/>
      <c r="H27" s="4">
        <f t="shared" si="20"/>
        <v>681.20524</v>
      </c>
      <c r="I27" s="4">
        <f t="shared" si="20"/>
        <v>1000.4635</v>
      </c>
      <c r="J27" s="4">
        <f t="shared" si="20"/>
        <v>488.68892</v>
      </c>
      <c r="K27" s="4">
        <f t="shared" si="20"/>
        <v>498.76941999999997</v>
      </c>
      <c r="L27" s="4">
        <f t="shared" si="20"/>
        <v>181.97159999999997</v>
      </c>
    </row>
    <row r="28" spans="1:19" x14ac:dyDescent="0.45">
      <c r="A28" t="s">
        <v>474</v>
      </c>
      <c r="B28" s="85">
        <v>11097.102969999991</v>
      </c>
      <c r="C28" s="85">
        <v>18853.910200000006</v>
      </c>
      <c r="D28" s="85">
        <v>12150.3055</v>
      </c>
      <c r="E28" s="85">
        <v>5992.0994999999994</v>
      </c>
      <c r="F28" s="85">
        <v>1435.4845499999994</v>
      </c>
      <c r="G28" s="85"/>
      <c r="H28" s="4">
        <f t="shared" si="20"/>
        <v>11097.102969999991</v>
      </c>
      <c r="I28" s="4">
        <f t="shared" si="20"/>
        <v>18853.910200000006</v>
      </c>
      <c r="J28" s="4">
        <f t="shared" si="20"/>
        <v>12150.3055</v>
      </c>
      <c r="K28" s="4">
        <f t="shared" si="20"/>
        <v>5992.0994999999994</v>
      </c>
      <c r="L28" s="4">
        <f t="shared" si="20"/>
        <v>1435.4845499999994</v>
      </c>
    </row>
    <row r="29" spans="1:19" x14ac:dyDescent="0.45">
      <c r="A29" t="s">
        <v>475</v>
      </c>
      <c r="B29" s="86"/>
      <c r="C29" s="1"/>
      <c r="D29" s="1"/>
      <c r="E29" s="1"/>
      <c r="F29" s="1"/>
      <c r="G29" s="1"/>
      <c r="H29" s="4">
        <f t="shared" si="20"/>
        <v>0</v>
      </c>
      <c r="I29" s="4">
        <f t="shared" si="20"/>
        <v>0</v>
      </c>
      <c r="J29" s="4">
        <f t="shared" si="20"/>
        <v>0</v>
      </c>
      <c r="K29" s="4">
        <f t="shared" si="20"/>
        <v>0</v>
      </c>
      <c r="L29" s="4">
        <f t="shared" si="20"/>
        <v>0</v>
      </c>
    </row>
    <row r="30" spans="1:19" x14ac:dyDescent="0.45">
      <c r="A30" t="s">
        <v>471</v>
      </c>
      <c r="B30" s="85"/>
      <c r="C30" s="85">
        <f>SUM($B27:B29)</f>
        <v>11778.30820999999</v>
      </c>
      <c r="D30" s="85">
        <f>SUM($B27:C29)</f>
        <v>31632.681909999996</v>
      </c>
      <c r="E30" s="85">
        <f>SUM($B27:D29)</f>
        <v>44271.676329999995</v>
      </c>
      <c r="F30" s="85">
        <f>SUM($B27:E29)</f>
        <v>50762.545249999996</v>
      </c>
      <c r="G30" s="85"/>
      <c r="I30" s="85">
        <f>SUM($H27:H29)</f>
        <v>11778.30820999999</v>
      </c>
      <c r="J30" s="85">
        <f>SUM($H27:I29)</f>
        <v>31632.681909999996</v>
      </c>
      <c r="K30" s="85">
        <f>SUM($H27:J29)</f>
        <v>44271.676329999995</v>
      </c>
      <c r="L30" s="85">
        <f>SUM($H27:K29)</f>
        <v>50762.545249999996</v>
      </c>
    </row>
    <row r="31" spans="1:19" x14ac:dyDescent="0.45">
      <c r="A31" t="s">
        <v>476</v>
      </c>
      <c r="B31" s="85">
        <f>SUM(B26:B30)</f>
        <v>5590100.3082100004</v>
      </c>
      <c r="C31" s="85">
        <f>SUM(C26:C30)</f>
        <v>5848983.6819099998</v>
      </c>
      <c r="D31" s="85">
        <f>SUM(D26:D30)</f>
        <v>5652333.6763299992</v>
      </c>
      <c r="E31" s="85">
        <f>SUM(E26:E30)</f>
        <v>5723638.5452499995</v>
      </c>
      <c r="F31" s="85">
        <f>SUM(F26:F30)</f>
        <v>5514071.0014000004</v>
      </c>
      <c r="G31" s="85"/>
      <c r="H31" s="85">
        <f>SUM(H26:H30)</f>
        <v>5590100.3082100004</v>
      </c>
      <c r="I31" s="85">
        <f t="shared" ref="I31:L31" si="21">SUM(I26:I30)</f>
        <v>5848983.6819099998</v>
      </c>
      <c r="J31" s="85">
        <f t="shared" si="21"/>
        <v>5652333.6763299992</v>
      </c>
      <c r="K31" s="85">
        <f t="shared" si="21"/>
        <v>5723638.5452499995</v>
      </c>
      <c r="L31" s="85">
        <f t="shared" si="21"/>
        <v>5514071.0014000004</v>
      </c>
    </row>
    <row r="33" spans="2:13" x14ac:dyDescent="0.45">
      <c r="M33" t="s">
        <v>477</v>
      </c>
    </row>
    <row r="34" spans="2:13" x14ac:dyDescent="0.45">
      <c r="B34" s="17"/>
      <c r="C34" s="17"/>
      <c r="D34" s="17"/>
      <c r="E34" s="17"/>
      <c r="F34" s="17"/>
      <c r="G34" s="17" t="s">
        <v>547</v>
      </c>
      <c r="H34" s="17">
        <f>H24/H31</f>
        <v>0.10015988254937558</v>
      </c>
      <c r="I34" s="17">
        <f>I24/I31</f>
        <v>9.0159299114420291E-2</v>
      </c>
      <c r="J34" s="17">
        <f>J24/J31</f>
        <v>9.7727266298164514E-2</v>
      </c>
      <c r="K34" s="17">
        <f>K24/K31</f>
        <v>9.9662541727672541E-2</v>
      </c>
      <c r="L34" s="17">
        <f>L24/L31</f>
        <v>0.10690210252652728</v>
      </c>
      <c r="M34" s="57">
        <f>AVERAGE(H34:L34)</f>
        <v>9.8922218443232041E-2</v>
      </c>
    </row>
    <row r="35" spans="2:13" x14ac:dyDescent="0.45">
      <c r="B35" s="17"/>
      <c r="C35" s="17"/>
      <c r="D35" s="17"/>
      <c r="E35" s="17"/>
      <c r="F35" s="17"/>
      <c r="G35" s="17" t="s">
        <v>548</v>
      </c>
      <c r="H35" s="17">
        <f>H23/H31</f>
        <v>5.4329687714897213E-4</v>
      </c>
      <c r="I35" s="17">
        <f t="shared" ref="I35:L35" si="22">I23/I31</f>
        <v>1.6145117696270068E-3</v>
      </c>
      <c r="J35" s="17">
        <f t="shared" si="22"/>
        <v>2.5069503397931931E-3</v>
      </c>
      <c r="K35" s="17">
        <f t="shared" si="22"/>
        <v>2.8662729651953295E-3</v>
      </c>
      <c r="L35" s="17">
        <f t="shared" si="22"/>
        <v>3.0689276490824115E-3</v>
      </c>
      <c r="M35" s="57">
        <f>AVERAGE(H35:L35)</f>
        <v>2.1199919201693824E-3</v>
      </c>
    </row>
    <row r="36" spans="2:13" x14ac:dyDescent="0.45">
      <c r="B36" s="87"/>
      <c r="C36" s="87"/>
      <c r="D36" s="87"/>
      <c r="E36" s="87"/>
      <c r="F36" s="87"/>
      <c r="G36" s="87"/>
      <c r="H36" s="17">
        <f>SUM(H34:H35)</f>
        <v>0.10070317942652456</v>
      </c>
      <c r="I36" s="17">
        <f t="shared" ref="I36:L36" si="23">SUM(I34:I35)</f>
        <v>9.1773810884047291E-2</v>
      </c>
      <c r="J36" s="17">
        <f t="shared" si="23"/>
        <v>0.1002342166379577</v>
      </c>
      <c r="K36" s="17">
        <f t="shared" si="23"/>
        <v>0.10252881469286787</v>
      </c>
      <c r="L36" s="17">
        <f t="shared" si="23"/>
        <v>0.10997103017560969</v>
      </c>
      <c r="M36" s="57">
        <f>AVERAGE(H36:L36)</f>
        <v>0.10104221036340144</v>
      </c>
    </row>
  </sheetData>
  <pageMargins left="0.7" right="0.7" top="0.75" bottom="0.75" header="0.3" footer="0.3"/>
  <pageSetup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BE831-585E-42F8-A90E-51607F3636AD}">
  <sheetPr filterMode="1"/>
  <dimension ref="A1:AK203"/>
  <sheetViews>
    <sheetView workbookViewId="0">
      <pane xSplit="8" ySplit="1" topLeftCell="I136" activePane="bottomRight" state="frozen"/>
      <selection pane="topRight" activeCell="I1" sqref="I1"/>
      <selection pane="bottomLeft" activeCell="A2" sqref="A2"/>
      <selection pane="bottomRight" activeCell="H215" sqref="H215"/>
    </sheetView>
  </sheetViews>
  <sheetFormatPr defaultColWidth="9.1328125" defaultRowHeight="12.75" x14ac:dyDescent="0.35"/>
  <cols>
    <col min="1" max="1" width="15.59765625" style="53" bestFit="1" customWidth="1"/>
    <col min="2" max="2" width="11.3984375" style="69" customWidth="1"/>
    <col min="3" max="3" width="9.59765625" style="70" customWidth="1"/>
    <col min="4" max="4" width="10.265625" style="71" customWidth="1"/>
    <col min="5" max="5" width="11.86328125" style="53" customWidth="1"/>
    <col min="6" max="6" width="10.86328125" style="53" customWidth="1"/>
    <col min="7" max="7" width="11.1328125" style="53" customWidth="1"/>
    <col min="8" max="8" width="17.265625" style="53" bestFit="1" customWidth="1"/>
    <col min="9" max="13" width="12.1328125" style="53" bestFit="1" customWidth="1"/>
    <col min="14" max="14" width="15.59765625" style="53" bestFit="1" customWidth="1"/>
    <col min="15" max="19" width="15.1328125" style="53" bestFit="1" customWidth="1"/>
    <col min="20" max="24" width="15.59765625" style="53" bestFit="1" customWidth="1"/>
    <col min="25" max="25" width="15.1328125" style="53" bestFit="1" customWidth="1"/>
    <col min="26" max="26" width="15" style="53" bestFit="1" customWidth="1"/>
    <col min="27" max="27" width="15.86328125" style="53" bestFit="1" customWidth="1"/>
    <col min="28" max="28" width="16" style="53" bestFit="1" customWidth="1"/>
    <col min="29" max="30" width="15.1328125" style="53" bestFit="1" customWidth="1"/>
    <col min="31" max="31" width="14.3984375" style="53" bestFit="1" customWidth="1"/>
    <col min="32" max="32" width="14.73046875" style="53" bestFit="1" customWidth="1"/>
    <col min="33" max="33" width="14.86328125" style="53" bestFit="1" customWidth="1"/>
    <col min="34" max="34" width="15.86328125" style="53" bestFit="1" customWidth="1"/>
    <col min="35" max="35" width="22" style="53" bestFit="1" customWidth="1"/>
    <col min="36" max="36" width="12" style="53" bestFit="1" customWidth="1"/>
    <col min="37" max="16384" width="9.1328125" style="53"/>
  </cols>
  <sheetData>
    <row r="1" spans="1:36" s="68" customFormat="1" ht="66.75" customHeight="1" thickBot="1" x14ac:dyDescent="0.45">
      <c r="A1" s="65" t="s">
        <v>98</v>
      </c>
      <c r="B1" s="66" t="s">
        <v>99</v>
      </c>
      <c r="C1" s="67" t="s">
        <v>100</v>
      </c>
      <c r="D1" s="67" t="s">
        <v>101</v>
      </c>
      <c r="E1" s="65" t="s">
        <v>102</v>
      </c>
      <c r="F1" s="65" t="s">
        <v>103</v>
      </c>
      <c r="G1" s="65" t="s">
        <v>104</v>
      </c>
      <c r="H1" s="65" t="s">
        <v>105</v>
      </c>
      <c r="I1" s="65" t="s">
        <v>106</v>
      </c>
      <c r="J1" s="65" t="s">
        <v>107</v>
      </c>
      <c r="K1" s="65" t="s">
        <v>108</v>
      </c>
      <c r="L1" s="65" t="s">
        <v>109</v>
      </c>
      <c r="M1" s="65" t="s">
        <v>110</v>
      </c>
      <c r="N1" s="65" t="s">
        <v>111</v>
      </c>
      <c r="O1" s="65" t="s">
        <v>112</v>
      </c>
      <c r="P1" s="65" t="s">
        <v>113</v>
      </c>
      <c r="Q1" s="65" t="s">
        <v>114</v>
      </c>
      <c r="R1" s="65" t="s">
        <v>115</v>
      </c>
      <c r="S1" s="65" t="s">
        <v>116</v>
      </c>
      <c r="T1" s="65" t="s">
        <v>117</v>
      </c>
      <c r="U1" s="65" t="s">
        <v>118</v>
      </c>
      <c r="V1" s="65" t="s">
        <v>119</v>
      </c>
      <c r="W1" s="65" t="s">
        <v>120</v>
      </c>
      <c r="X1" s="65" t="s">
        <v>121</v>
      </c>
      <c r="Y1" s="65" t="s">
        <v>122</v>
      </c>
      <c r="Z1" s="65" t="s">
        <v>123</v>
      </c>
      <c r="AA1" s="65" t="s">
        <v>124</v>
      </c>
      <c r="AB1" s="65" t="s">
        <v>125</v>
      </c>
      <c r="AC1" s="65" t="s">
        <v>126</v>
      </c>
      <c r="AD1" s="65" t="s">
        <v>127</v>
      </c>
      <c r="AE1" s="65" t="s">
        <v>128</v>
      </c>
      <c r="AF1" s="65" t="s">
        <v>129</v>
      </c>
      <c r="AG1" s="65" t="s">
        <v>130</v>
      </c>
      <c r="AH1" s="65" t="s">
        <v>131</v>
      </c>
      <c r="AI1" s="65" t="s">
        <v>132</v>
      </c>
      <c r="AJ1" s="65" t="s">
        <v>133</v>
      </c>
    </row>
    <row r="2" spans="1:36" x14ac:dyDescent="0.35">
      <c r="A2" s="53">
        <v>53065950100</v>
      </c>
      <c r="B2" s="69">
        <v>1</v>
      </c>
      <c r="C2" s="70" t="s">
        <v>134</v>
      </c>
      <c r="D2" s="71">
        <v>0</v>
      </c>
      <c r="E2" s="53" t="s">
        <v>66</v>
      </c>
      <c r="F2" s="53">
        <v>5129</v>
      </c>
      <c r="G2" s="53">
        <v>41197</v>
      </c>
      <c r="H2" s="53" t="s">
        <v>135</v>
      </c>
      <c r="I2" s="53">
        <v>1281.7</v>
      </c>
      <c r="J2" s="53">
        <v>165</v>
      </c>
      <c r="K2" s="53">
        <v>218.9</v>
      </c>
      <c r="L2" s="53">
        <v>197.1</v>
      </c>
      <c r="M2" s="53">
        <v>227.5</v>
      </c>
      <c r="N2" s="53">
        <v>418.04</v>
      </c>
      <c r="O2" s="53">
        <v>5.2</v>
      </c>
      <c r="P2" s="53">
        <v>5.2</v>
      </c>
      <c r="Q2" s="53">
        <v>5.6</v>
      </c>
      <c r="R2" s="53">
        <v>4.8</v>
      </c>
      <c r="S2" s="53">
        <v>5.26</v>
      </c>
      <c r="T2" s="53">
        <v>5002</v>
      </c>
      <c r="U2" s="53">
        <v>5000</v>
      </c>
      <c r="V2" s="53">
        <v>5033</v>
      </c>
      <c r="W2" s="53">
        <v>5003</v>
      </c>
      <c r="X2" s="53">
        <v>5003</v>
      </c>
      <c r="Y2" s="53">
        <v>5.5</v>
      </c>
      <c r="Z2" s="53" t="s">
        <v>134</v>
      </c>
      <c r="AA2" s="53">
        <v>2021</v>
      </c>
      <c r="AB2" s="53">
        <v>3</v>
      </c>
      <c r="AC2" s="53">
        <v>3</v>
      </c>
      <c r="AD2" s="53">
        <v>5</v>
      </c>
      <c r="AE2" s="53">
        <v>5</v>
      </c>
      <c r="AF2" s="53">
        <v>0</v>
      </c>
      <c r="AG2" s="53">
        <v>10</v>
      </c>
      <c r="AH2" s="53">
        <v>2021</v>
      </c>
      <c r="AI2" s="53" t="s">
        <v>136</v>
      </c>
      <c r="AJ2" s="53" t="s">
        <v>137</v>
      </c>
    </row>
    <row r="3" spans="1:36" hidden="1" x14ac:dyDescent="0.35">
      <c r="A3" s="53">
        <v>53063000500</v>
      </c>
      <c r="B3" s="69">
        <v>1</v>
      </c>
      <c r="C3" s="70" t="s">
        <v>134</v>
      </c>
      <c r="D3" s="71">
        <v>0</v>
      </c>
      <c r="E3" s="53" t="s">
        <v>65</v>
      </c>
      <c r="F3" s="53">
        <v>1726</v>
      </c>
      <c r="G3" s="53">
        <v>51597</v>
      </c>
      <c r="H3" s="53" t="s">
        <v>138</v>
      </c>
      <c r="I3" s="53">
        <v>99.5</v>
      </c>
      <c r="J3" s="53">
        <v>201.7</v>
      </c>
      <c r="K3" s="53">
        <v>69.5</v>
      </c>
      <c r="L3" s="53">
        <v>106.2</v>
      </c>
      <c r="M3" s="53">
        <v>168</v>
      </c>
      <c r="N3" s="53">
        <v>128.97999999999999</v>
      </c>
      <c r="O3" s="53">
        <v>1.1000000000000001</v>
      </c>
      <c r="P3" s="53">
        <v>1.1000000000000001</v>
      </c>
      <c r="Q3" s="53">
        <v>1.2</v>
      </c>
      <c r="R3" s="53">
        <v>1.1000000000000001</v>
      </c>
      <c r="S3" s="53">
        <v>1.1599999999999999</v>
      </c>
      <c r="T3" s="53">
        <v>1713</v>
      </c>
      <c r="U3" s="53">
        <v>1712</v>
      </c>
      <c r="V3" s="53">
        <v>1717</v>
      </c>
      <c r="W3" s="53">
        <v>1662</v>
      </c>
      <c r="X3" s="53">
        <v>1662</v>
      </c>
      <c r="Y3" s="53">
        <v>1.3</v>
      </c>
      <c r="Z3" s="53" t="s">
        <v>139</v>
      </c>
      <c r="AA3" s="53">
        <v>2021</v>
      </c>
      <c r="AB3" s="53">
        <v>9</v>
      </c>
      <c r="AC3" s="53">
        <v>9</v>
      </c>
      <c r="AD3" s="53">
        <v>7</v>
      </c>
      <c r="AE3" s="53">
        <v>6</v>
      </c>
      <c r="AF3" s="53">
        <v>0</v>
      </c>
      <c r="AG3" s="53">
        <v>13</v>
      </c>
      <c r="AH3" s="53">
        <v>2021</v>
      </c>
      <c r="AI3" s="53" t="s">
        <v>140</v>
      </c>
      <c r="AJ3" s="53" t="s">
        <v>141</v>
      </c>
    </row>
    <row r="4" spans="1:36" x14ac:dyDescent="0.35">
      <c r="A4" s="53">
        <v>53065950800</v>
      </c>
      <c r="B4" s="69">
        <v>1</v>
      </c>
      <c r="C4" s="70" t="s">
        <v>134</v>
      </c>
      <c r="D4" s="71">
        <v>0</v>
      </c>
      <c r="E4" s="53" t="s">
        <v>66</v>
      </c>
      <c r="F4" s="53">
        <v>2181</v>
      </c>
      <c r="G4" s="53">
        <v>52356</v>
      </c>
      <c r="H4" s="53" t="s">
        <v>135</v>
      </c>
      <c r="I4" s="53">
        <v>171.7</v>
      </c>
      <c r="J4" s="53">
        <v>163.80000000000001</v>
      </c>
      <c r="K4" s="53">
        <v>126</v>
      </c>
      <c r="L4" s="53">
        <v>182</v>
      </c>
      <c r="M4" s="53">
        <v>250.5</v>
      </c>
      <c r="N4" s="53">
        <v>178.8</v>
      </c>
      <c r="O4" s="53">
        <v>3</v>
      </c>
      <c r="P4" s="53">
        <v>2.7</v>
      </c>
      <c r="Q4" s="53">
        <v>4.5999999999999996</v>
      </c>
      <c r="R4" s="53">
        <v>2.7</v>
      </c>
      <c r="S4" s="53">
        <v>3.14</v>
      </c>
      <c r="T4" s="53">
        <v>2087</v>
      </c>
      <c r="U4" s="53">
        <v>2088</v>
      </c>
      <c r="V4" s="53">
        <v>2130</v>
      </c>
      <c r="W4" s="53">
        <v>2114</v>
      </c>
      <c r="X4" s="53">
        <v>2114</v>
      </c>
      <c r="Y4" s="53">
        <v>2.7</v>
      </c>
      <c r="Z4" s="53" t="s">
        <v>134</v>
      </c>
      <c r="AA4" s="53">
        <v>2021</v>
      </c>
      <c r="AB4" s="53">
        <v>2</v>
      </c>
      <c r="AC4" s="53">
        <v>2</v>
      </c>
      <c r="AD4" s="53">
        <v>4</v>
      </c>
      <c r="AE4" s="53">
        <v>4</v>
      </c>
      <c r="AF4" s="53">
        <v>0</v>
      </c>
      <c r="AG4" s="53">
        <v>8</v>
      </c>
      <c r="AH4" s="53">
        <v>2021</v>
      </c>
      <c r="AI4" s="53" t="s">
        <v>142</v>
      </c>
      <c r="AJ4" s="53" t="s">
        <v>143</v>
      </c>
    </row>
    <row r="5" spans="1:36" x14ac:dyDescent="0.35">
      <c r="A5" s="53">
        <v>53019940000</v>
      </c>
      <c r="B5" s="69">
        <v>1</v>
      </c>
      <c r="C5" s="70" t="s">
        <v>134</v>
      </c>
      <c r="D5" s="71">
        <v>1</v>
      </c>
      <c r="E5" s="53" t="s">
        <v>63</v>
      </c>
      <c r="F5" s="53">
        <v>1016</v>
      </c>
      <c r="G5" s="53">
        <v>35592</v>
      </c>
      <c r="H5" s="53" t="s">
        <v>135</v>
      </c>
      <c r="I5" s="53">
        <v>376.1</v>
      </c>
      <c r="J5" s="53">
        <v>351.4</v>
      </c>
      <c r="K5" s="53">
        <v>241.9</v>
      </c>
      <c r="L5" s="53">
        <v>241.9</v>
      </c>
      <c r="M5" s="53">
        <v>263</v>
      </c>
      <c r="N5" s="53">
        <v>294.86</v>
      </c>
      <c r="O5" s="53">
        <v>4.2</v>
      </c>
      <c r="P5" s="53">
        <v>8.8000000000000007</v>
      </c>
      <c r="Q5" s="53">
        <v>6.5</v>
      </c>
      <c r="R5" s="53">
        <v>6.5</v>
      </c>
      <c r="S5" s="53">
        <v>5.66</v>
      </c>
      <c r="T5" s="53">
        <v>1018</v>
      </c>
      <c r="U5" s="53">
        <v>1018</v>
      </c>
      <c r="V5" s="53">
        <v>1016</v>
      </c>
      <c r="W5" s="53">
        <v>992</v>
      </c>
      <c r="X5" s="53">
        <v>992</v>
      </c>
      <c r="Y5" s="53">
        <v>2.2999999999999998</v>
      </c>
      <c r="Z5" s="53" t="s">
        <v>134</v>
      </c>
      <c r="AA5" s="53">
        <v>2021</v>
      </c>
      <c r="AB5" s="53">
        <v>5</v>
      </c>
      <c r="AC5" s="53">
        <v>5</v>
      </c>
      <c r="AD5" s="53">
        <v>8</v>
      </c>
      <c r="AE5" s="53">
        <v>10</v>
      </c>
      <c r="AF5" s="53">
        <v>1</v>
      </c>
      <c r="AG5" s="53">
        <v>18</v>
      </c>
      <c r="AH5" s="53">
        <v>2021</v>
      </c>
      <c r="AI5" s="53" t="s">
        <v>144</v>
      </c>
      <c r="AJ5" s="53" t="s">
        <v>145</v>
      </c>
    </row>
    <row r="6" spans="1:36" x14ac:dyDescent="0.35">
      <c r="A6" s="53">
        <v>53001950200</v>
      </c>
      <c r="B6" s="69">
        <v>1</v>
      </c>
      <c r="C6" s="70" t="s">
        <v>139</v>
      </c>
      <c r="D6" s="71">
        <v>1</v>
      </c>
      <c r="E6" s="53" t="s">
        <v>61</v>
      </c>
      <c r="F6" s="53">
        <v>676</v>
      </c>
      <c r="G6" s="53">
        <v>49261</v>
      </c>
      <c r="H6" s="53" t="s">
        <v>135</v>
      </c>
      <c r="I6" s="53">
        <v>182.5</v>
      </c>
      <c r="J6" s="53">
        <v>161.19999999999999</v>
      </c>
      <c r="K6" s="53">
        <v>205.6</v>
      </c>
      <c r="L6" s="53">
        <v>279.2</v>
      </c>
      <c r="M6" s="53">
        <v>358.1</v>
      </c>
      <c r="N6" s="53">
        <v>237.32</v>
      </c>
      <c r="O6" s="53">
        <v>2</v>
      </c>
      <c r="P6" s="53">
        <v>2.7</v>
      </c>
      <c r="Q6" s="53">
        <v>2.2999999999999998</v>
      </c>
      <c r="R6" s="53">
        <v>2.8</v>
      </c>
      <c r="S6" s="53">
        <v>2.62</v>
      </c>
      <c r="T6" s="53">
        <v>676</v>
      </c>
      <c r="U6" s="53">
        <v>667</v>
      </c>
      <c r="V6" s="53">
        <v>669</v>
      </c>
      <c r="W6" s="53">
        <v>662</v>
      </c>
      <c r="X6" s="53">
        <v>662</v>
      </c>
      <c r="Y6" s="53">
        <v>3.3</v>
      </c>
      <c r="Z6" s="53" t="s">
        <v>139</v>
      </c>
      <c r="AA6" s="53">
        <v>2021</v>
      </c>
      <c r="AB6" s="53">
        <v>6</v>
      </c>
      <c r="AC6" s="53">
        <v>6</v>
      </c>
      <c r="AD6" s="53">
        <v>9</v>
      </c>
      <c r="AE6" s="53">
        <v>6</v>
      </c>
      <c r="AF6" s="53">
        <v>1</v>
      </c>
      <c r="AG6" s="53">
        <v>15</v>
      </c>
      <c r="AH6" s="53">
        <v>2021</v>
      </c>
      <c r="AI6" s="53" t="s">
        <v>146</v>
      </c>
      <c r="AJ6" s="53" t="s">
        <v>147</v>
      </c>
    </row>
    <row r="7" spans="1:36" hidden="1" x14ac:dyDescent="0.35">
      <c r="A7" s="53">
        <v>53063002300</v>
      </c>
      <c r="B7" s="69">
        <v>1</v>
      </c>
      <c r="C7" s="70" t="s">
        <v>134</v>
      </c>
      <c r="D7" s="71">
        <v>1</v>
      </c>
      <c r="E7" s="53" t="s">
        <v>65</v>
      </c>
      <c r="F7" s="53">
        <v>2844</v>
      </c>
      <c r="G7" s="53">
        <v>52674</v>
      </c>
      <c r="H7" s="53" t="s">
        <v>138</v>
      </c>
      <c r="I7" s="53">
        <v>111.7</v>
      </c>
      <c r="J7" s="53">
        <v>441.7</v>
      </c>
      <c r="K7" s="53">
        <v>155.80000000000001</v>
      </c>
      <c r="L7" s="53">
        <v>96.3</v>
      </c>
      <c r="M7" s="53">
        <v>196.3</v>
      </c>
      <c r="N7" s="53">
        <v>200.36</v>
      </c>
      <c r="O7" s="53">
        <v>1.2</v>
      </c>
      <c r="P7" s="53">
        <v>1.1000000000000001</v>
      </c>
      <c r="Q7" s="53">
        <v>1.2</v>
      </c>
      <c r="R7" s="53">
        <v>1.6</v>
      </c>
      <c r="S7" s="53">
        <v>1.24</v>
      </c>
      <c r="T7" s="53">
        <v>2705</v>
      </c>
      <c r="U7" s="53">
        <v>2736</v>
      </c>
      <c r="V7" s="53">
        <v>2766</v>
      </c>
      <c r="W7" s="53">
        <v>2234</v>
      </c>
      <c r="X7" s="53">
        <v>2234</v>
      </c>
      <c r="Y7" s="53">
        <v>1.1000000000000001</v>
      </c>
      <c r="Z7" s="53" t="s">
        <v>139</v>
      </c>
      <c r="AA7" s="53">
        <v>2021</v>
      </c>
      <c r="AB7" s="53">
        <v>9</v>
      </c>
      <c r="AC7" s="53">
        <v>9</v>
      </c>
      <c r="AD7" s="53">
        <v>10</v>
      </c>
      <c r="AE7" s="53">
        <v>8</v>
      </c>
      <c r="AF7" s="53">
        <v>1</v>
      </c>
      <c r="AG7" s="53">
        <v>18</v>
      </c>
      <c r="AH7" s="53">
        <v>2021</v>
      </c>
      <c r="AI7" s="53" t="s">
        <v>148</v>
      </c>
      <c r="AJ7" s="53" t="s">
        <v>149</v>
      </c>
    </row>
    <row r="8" spans="1:36" x14ac:dyDescent="0.35">
      <c r="A8" s="53">
        <v>53065951100</v>
      </c>
      <c r="B8" s="69">
        <v>1</v>
      </c>
      <c r="C8" s="70" t="s">
        <v>139</v>
      </c>
      <c r="D8" s="71">
        <v>1</v>
      </c>
      <c r="E8" s="53" t="s">
        <v>66</v>
      </c>
      <c r="F8" s="53">
        <v>2479</v>
      </c>
      <c r="G8" s="53">
        <v>38718</v>
      </c>
      <c r="H8" s="53" t="s">
        <v>135</v>
      </c>
      <c r="I8" s="53">
        <v>253.7</v>
      </c>
      <c r="J8" s="53">
        <v>266.5</v>
      </c>
      <c r="K8" s="53">
        <v>241</v>
      </c>
      <c r="L8" s="53">
        <v>189.2</v>
      </c>
      <c r="M8" s="53">
        <v>223.6</v>
      </c>
      <c r="N8" s="53">
        <v>234.8</v>
      </c>
      <c r="O8" s="53">
        <v>1.7</v>
      </c>
      <c r="P8" s="53">
        <v>2.6</v>
      </c>
      <c r="Q8" s="53">
        <v>2.2000000000000002</v>
      </c>
      <c r="R8" s="53">
        <v>5.0999999999999996</v>
      </c>
      <c r="S8" s="53">
        <v>2.96</v>
      </c>
      <c r="T8" s="53">
        <v>2370</v>
      </c>
      <c r="U8" s="53">
        <v>2388</v>
      </c>
      <c r="V8" s="53">
        <v>2409</v>
      </c>
      <c r="W8" s="53">
        <v>2386</v>
      </c>
      <c r="X8" s="53">
        <v>2386</v>
      </c>
      <c r="Y8" s="53">
        <v>3.2</v>
      </c>
      <c r="Z8" s="53" t="s">
        <v>134</v>
      </c>
      <c r="AA8" s="53">
        <v>2021</v>
      </c>
      <c r="AB8" s="53">
        <v>4</v>
      </c>
      <c r="AC8" s="53">
        <v>4</v>
      </c>
      <c r="AD8" s="53">
        <v>9</v>
      </c>
      <c r="AE8" s="53">
        <v>8</v>
      </c>
      <c r="AF8" s="53">
        <v>1</v>
      </c>
      <c r="AG8" s="53">
        <v>17</v>
      </c>
      <c r="AH8" s="53">
        <v>2021</v>
      </c>
      <c r="AI8" s="53" t="s">
        <v>150</v>
      </c>
      <c r="AJ8" s="53" t="s">
        <v>151</v>
      </c>
    </row>
    <row r="9" spans="1:36" hidden="1" x14ac:dyDescent="0.35">
      <c r="A9" s="53">
        <v>53075000500</v>
      </c>
      <c r="B9" s="69">
        <v>1</v>
      </c>
      <c r="C9" s="70" t="s">
        <v>139</v>
      </c>
      <c r="D9" s="71">
        <v>1</v>
      </c>
      <c r="E9" s="53" t="s">
        <v>67</v>
      </c>
      <c r="F9" s="53">
        <v>342</v>
      </c>
      <c r="G9" s="53">
        <v>27744</v>
      </c>
      <c r="H9" s="53" t="s">
        <v>152</v>
      </c>
      <c r="I9" s="53">
        <v>50.2</v>
      </c>
      <c r="J9" s="53">
        <v>50.2</v>
      </c>
      <c r="K9" s="53">
        <v>85.4</v>
      </c>
      <c r="L9" s="53">
        <v>81.400000000000006</v>
      </c>
      <c r="M9" s="53">
        <v>268</v>
      </c>
      <c r="N9" s="53">
        <v>107.04</v>
      </c>
      <c r="O9" s="53">
        <v>2.1</v>
      </c>
      <c r="P9" s="53">
        <v>2.1</v>
      </c>
      <c r="Q9" s="53">
        <v>1</v>
      </c>
      <c r="R9" s="53">
        <v>1</v>
      </c>
      <c r="S9" s="53">
        <v>1.44</v>
      </c>
      <c r="T9" s="53">
        <v>341</v>
      </c>
      <c r="U9" s="53">
        <v>341</v>
      </c>
      <c r="V9" s="53">
        <v>341</v>
      </c>
      <c r="W9" s="53">
        <v>341</v>
      </c>
      <c r="X9" s="53">
        <v>341</v>
      </c>
      <c r="Y9" s="53">
        <v>1</v>
      </c>
      <c r="Z9" s="53" t="s">
        <v>139</v>
      </c>
      <c r="AA9" s="53">
        <v>2021</v>
      </c>
      <c r="AB9" s="53">
        <v>6</v>
      </c>
      <c r="AC9" s="53">
        <v>6</v>
      </c>
      <c r="AD9" s="53">
        <v>5</v>
      </c>
      <c r="AE9" s="53">
        <v>9</v>
      </c>
      <c r="AF9" s="53">
        <v>1</v>
      </c>
      <c r="AG9" s="53">
        <v>14</v>
      </c>
      <c r="AH9" s="53">
        <v>2021</v>
      </c>
      <c r="AI9" s="53" t="s">
        <v>153</v>
      </c>
      <c r="AJ9" s="53" t="s">
        <v>154</v>
      </c>
    </row>
    <row r="10" spans="1:36" hidden="1" x14ac:dyDescent="0.35">
      <c r="A10" s="53">
        <v>53063001300</v>
      </c>
      <c r="B10" s="69">
        <v>1</v>
      </c>
      <c r="C10" s="70" t="s">
        <v>134</v>
      </c>
      <c r="D10" s="71">
        <v>1</v>
      </c>
      <c r="E10" s="53" t="s">
        <v>65</v>
      </c>
      <c r="F10" s="53">
        <v>1826</v>
      </c>
      <c r="G10" s="53">
        <v>43649</v>
      </c>
      <c r="H10" s="53" t="s">
        <v>138</v>
      </c>
      <c r="I10" s="53">
        <v>333.4</v>
      </c>
      <c r="J10" s="53">
        <v>121</v>
      </c>
      <c r="K10" s="53">
        <v>120</v>
      </c>
      <c r="L10" s="53">
        <v>126.4</v>
      </c>
      <c r="M10" s="53">
        <v>131.6</v>
      </c>
      <c r="N10" s="53">
        <v>166.48</v>
      </c>
      <c r="O10" s="53">
        <v>1.8</v>
      </c>
      <c r="P10" s="53">
        <v>1</v>
      </c>
      <c r="Q10" s="53">
        <v>1.4</v>
      </c>
      <c r="R10" s="53">
        <v>1.5</v>
      </c>
      <c r="S10" s="53">
        <v>1.64</v>
      </c>
      <c r="T10" s="53">
        <v>1816</v>
      </c>
      <c r="U10" s="53">
        <v>1819</v>
      </c>
      <c r="V10" s="53">
        <v>1821</v>
      </c>
      <c r="W10" s="53">
        <v>1764</v>
      </c>
      <c r="X10" s="53">
        <v>1764</v>
      </c>
      <c r="Y10" s="53">
        <v>2.5</v>
      </c>
      <c r="Z10" s="53" t="s">
        <v>139</v>
      </c>
      <c r="AA10" s="53">
        <v>2021</v>
      </c>
      <c r="AB10" s="53">
        <v>10</v>
      </c>
      <c r="AC10" s="53">
        <v>10</v>
      </c>
      <c r="AD10" s="53">
        <v>10</v>
      </c>
      <c r="AE10" s="53">
        <v>7</v>
      </c>
      <c r="AF10" s="53">
        <v>1</v>
      </c>
      <c r="AG10" s="53">
        <v>17</v>
      </c>
      <c r="AH10" s="53">
        <v>2021</v>
      </c>
      <c r="AI10" s="53" t="s">
        <v>155</v>
      </c>
      <c r="AJ10" s="53" t="s">
        <v>156</v>
      </c>
    </row>
    <row r="11" spans="1:36" hidden="1" x14ac:dyDescent="0.35">
      <c r="A11" s="53">
        <v>53063010401</v>
      </c>
      <c r="B11" s="69">
        <v>1</v>
      </c>
      <c r="C11" s="70" t="s">
        <v>134</v>
      </c>
      <c r="D11" s="71">
        <v>1</v>
      </c>
      <c r="E11" s="53" t="s">
        <v>65</v>
      </c>
      <c r="F11" s="53">
        <v>1530</v>
      </c>
      <c r="G11" s="53">
        <v>48866</v>
      </c>
      <c r="H11" s="53" t="s">
        <v>152</v>
      </c>
      <c r="I11" s="53">
        <v>299.89999999999998</v>
      </c>
      <c r="J11" s="53">
        <v>61.7</v>
      </c>
      <c r="K11" s="53">
        <v>396.9</v>
      </c>
      <c r="L11" s="53">
        <v>61.8</v>
      </c>
      <c r="M11" s="53">
        <v>121</v>
      </c>
      <c r="N11" s="53">
        <v>188.26</v>
      </c>
      <c r="O11" s="53">
        <v>1.1000000000000001</v>
      </c>
      <c r="P11" s="53">
        <v>1.1000000000000001</v>
      </c>
      <c r="Q11" s="53">
        <v>1.9</v>
      </c>
      <c r="R11" s="53">
        <v>1.8</v>
      </c>
      <c r="S11" s="53">
        <v>1.38</v>
      </c>
      <c r="T11" s="53">
        <v>1247</v>
      </c>
      <c r="U11" s="53">
        <v>1246</v>
      </c>
      <c r="V11" s="53">
        <v>1487</v>
      </c>
      <c r="W11" s="53">
        <v>609</v>
      </c>
      <c r="X11" s="53">
        <v>609</v>
      </c>
      <c r="Y11" s="53">
        <v>1</v>
      </c>
      <c r="Z11" s="53" t="s">
        <v>134</v>
      </c>
      <c r="AA11" s="53">
        <v>2021</v>
      </c>
      <c r="AB11" s="53">
        <v>8</v>
      </c>
      <c r="AC11" s="53">
        <v>8</v>
      </c>
      <c r="AD11" s="53">
        <v>10</v>
      </c>
      <c r="AE11" s="53">
        <v>9</v>
      </c>
      <c r="AF11" s="53">
        <v>1</v>
      </c>
      <c r="AG11" s="53">
        <v>19</v>
      </c>
      <c r="AH11" s="53">
        <v>2021</v>
      </c>
      <c r="AI11" s="53" t="s">
        <v>157</v>
      </c>
      <c r="AJ11" s="53" t="s">
        <v>158</v>
      </c>
    </row>
    <row r="12" spans="1:36" x14ac:dyDescent="0.35">
      <c r="A12" s="53">
        <v>53063010304</v>
      </c>
      <c r="B12" s="69">
        <v>1</v>
      </c>
      <c r="C12" s="70" t="s">
        <v>139</v>
      </c>
      <c r="D12" s="71">
        <v>1</v>
      </c>
      <c r="E12" s="53" t="s">
        <v>65</v>
      </c>
      <c r="F12" s="53">
        <v>1515</v>
      </c>
      <c r="G12" s="53">
        <v>76865</v>
      </c>
      <c r="H12" s="53" t="s">
        <v>135</v>
      </c>
      <c r="I12" s="53">
        <v>242.7</v>
      </c>
      <c r="J12" s="53">
        <v>117.8</v>
      </c>
      <c r="K12" s="53">
        <v>310</v>
      </c>
      <c r="L12" s="53">
        <v>119.4</v>
      </c>
      <c r="M12" s="53">
        <v>166.6</v>
      </c>
      <c r="N12" s="53">
        <v>191.3</v>
      </c>
      <c r="O12" s="53">
        <v>2.5</v>
      </c>
      <c r="P12" s="53">
        <v>2.1</v>
      </c>
      <c r="Q12" s="53">
        <v>1.3</v>
      </c>
      <c r="R12" s="53">
        <v>1.3</v>
      </c>
      <c r="S12" s="53">
        <v>1.74</v>
      </c>
      <c r="T12" s="53">
        <v>1434</v>
      </c>
      <c r="U12" s="53">
        <v>1436</v>
      </c>
      <c r="V12" s="53">
        <v>1384</v>
      </c>
      <c r="W12" s="53">
        <v>1450</v>
      </c>
      <c r="X12" s="53">
        <v>1450</v>
      </c>
      <c r="Y12" s="53">
        <v>1.5</v>
      </c>
      <c r="Z12" s="53" t="s">
        <v>139</v>
      </c>
      <c r="AA12" s="53">
        <v>2021</v>
      </c>
      <c r="AB12" s="53">
        <v>5</v>
      </c>
      <c r="AC12" s="53">
        <v>5</v>
      </c>
      <c r="AD12" s="53">
        <v>10</v>
      </c>
      <c r="AE12" s="53">
        <v>3</v>
      </c>
      <c r="AF12" s="53">
        <v>1</v>
      </c>
      <c r="AG12" s="53">
        <v>13</v>
      </c>
      <c r="AH12" s="53">
        <v>2021</v>
      </c>
      <c r="AI12" s="53" t="s">
        <v>159</v>
      </c>
      <c r="AJ12" s="53" t="s">
        <v>160</v>
      </c>
    </row>
    <row r="13" spans="1:36" hidden="1" x14ac:dyDescent="0.35">
      <c r="A13" s="53">
        <v>53075000600</v>
      </c>
      <c r="B13" s="69">
        <v>1</v>
      </c>
      <c r="C13" s="70" t="s">
        <v>139</v>
      </c>
      <c r="D13" s="71">
        <v>1</v>
      </c>
      <c r="E13" s="53" t="s">
        <v>67</v>
      </c>
      <c r="F13" s="53">
        <v>5630</v>
      </c>
      <c r="G13" s="53">
        <v>18537</v>
      </c>
      <c r="H13" s="53" t="s">
        <v>161</v>
      </c>
      <c r="I13" s="53">
        <v>55.4</v>
      </c>
      <c r="J13" s="53">
        <v>90.2</v>
      </c>
      <c r="K13" s="53">
        <v>138</v>
      </c>
      <c r="L13" s="53">
        <v>153.19999999999999</v>
      </c>
      <c r="M13" s="53">
        <v>125.8</v>
      </c>
      <c r="N13" s="53">
        <v>112.52</v>
      </c>
      <c r="O13" s="53">
        <v>1.1000000000000001</v>
      </c>
      <c r="P13" s="53">
        <v>1.4</v>
      </c>
      <c r="Q13" s="53">
        <v>1.3</v>
      </c>
      <c r="R13" s="53">
        <v>1</v>
      </c>
      <c r="S13" s="53">
        <v>1.26</v>
      </c>
      <c r="T13" s="53">
        <v>5141</v>
      </c>
      <c r="U13" s="53">
        <v>5170</v>
      </c>
      <c r="V13" s="53">
        <v>5336</v>
      </c>
      <c r="W13" s="53">
        <v>5266</v>
      </c>
      <c r="X13" s="53">
        <v>5266</v>
      </c>
      <c r="Y13" s="53">
        <v>1.5</v>
      </c>
      <c r="Z13" s="53" t="s">
        <v>139</v>
      </c>
      <c r="AA13" s="53">
        <v>2021</v>
      </c>
      <c r="AB13" s="53">
        <v>5</v>
      </c>
      <c r="AC13" s="53">
        <v>5</v>
      </c>
      <c r="AD13" s="53">
        <v>3</v>
      </c>
      <c r="AE13" s="53">
        <v>10</v>
      </c>
      <c r="AF13" s="53">
        <v>1</v>
      </c>
      <c r="AG13" s="53">
        <v>13</v>
      </c>
      <c r="AH13" s="53">
        <v>2021</v>
      </c>
      <c r="AI13" s="53" t="s">
        <v>162</v>
      </c>
      <c r="AJ13" s="53" t="s">
        <v>163</v>
      </c>
    </row>
    <row r="14" spans="1:36" hidden="1" x14ac:dyDescent="0.35">
      <c r="A14" s="53">
        <v>53063000300</v>
      </c>
      <c r="B14" s="69">
        <v>1</v>
      </c>
      <c r="C14" s="70" t="s">
        <v>134</v>
      </c>
      <c r="D14" s="71">
        <v>1</v>
      </c>
      <c r="E14" s="53" t="s">
        <v>65</v>
      </c>
      <c r="F14" s="53">
        <v>2243</v>
      </c>
      <c r="G14" s="53">
        <v>34733</v>
      </c>
      <c r="H14" s="53" t="s">
        <v>138</v>
      </c>
      <c r="I14" s="53">
        <v>58</v>
      </c>
      <c r="J14" s="53">
        <v>61.1</v>
      </c>
      <c r="K14" s="53">
        <v>95.2</v>
      </c>
      <c r="L14" s="53">
        <v>115.6</v>
      </c>
      <c r="M14" s="53">
        <v>295</v>
      </c>
      <c r="N14" s="53">
        <v>124.98</v>
      </c>
      <c r="O14" s="53">
        <v>2.6</v>
      </c>
      <c r="P14" s="53">
        <v>1.6</v>
      </c>
      <c r="Q14" s="53">
        <v>1.5</v>
      </c>
      <c r="R14" s="53">
        <v>1.2</v>
      </c>
      <c r="S14" s="53">
        <v>1.64</v>
      </c>
      <c r="T14" s="53">
        <v>2216</v>
      </c>
      <c r="U14" s="53">
        <v>2217</v>
      </c>
      <c r="V14" s="53">
        <v>2227</v>
      </c>
      <c r="W14" s="53">
        <v>1935</v>
      </c>
      <c r="X14" s="53">
        <v>1935</v>
      </c>
      <c r="Y14" s="53">
        <v>1.3</v>
      </c>
      <c r="Z14" s="53" t="s">
        <v>139</v>
      </c>
      <c r="AA14" s="53">
        <v>2021</v>
      </c>
      <c r="AB14" s="53">
        <v>10</v>
      </c>
      <c r="AC14" s="53">
        <v>10</v>
      </c>
      <c r="AD14" s="53">
        <v>10</v>
      </c>
      <c r="AE14" s="53">
        <v>9</v>
      </c>
      <c r="AF14" s="53">
        <v>1</v>
      </c>
      <c r="AG14" s="53">
        <v>19</v>
      </c>
      <c r="AH14" s="53">
        <v>2021</v>
      </c>
      <c r="AI14" s="53" t="s">
        <v>164</v>
      </c>
      <c r="AJ14" s="53" t="s">
        <v>165</v>
      </c>
    </row>
    <row r="15" spans="1:36" hidden="1" x14ac:dyDescent="0.35">
      <c r="A15" s="53">
        <v>53063010800</v>
      </c>
      <c r="B15" s="69">
        <v>1</v>
      </c>
      <c r="C15" s="70" t="s">
        <v>134</v>
      </c>
      <c r="D15" s="71">
        <v>1</v>
      </c>
      <c r="E15" s="53" t="s">
        <v>65</v>
      </c>
      <c r="F15" s="53">
        <v>1152</v>
      </c>
      <c r="G15" s="53">
        <v>33846</v>
      </c>
      <c r="H15" s="53" t="s">
        <v>166</v>
      </c>
      <c r="I15" s="53">
        <v>141.1</v>
      </c>
      <c r="J15" s="53">
        <v>224.8</v>
      </c>
      <c r="K15" s="53">
        <v>209.9</v>
      </c>
      <c r="L15" s="53">
        <v>238.7</v>
      </c>
      <c r="M15" s="53">
        <v>142.5</v>
      </c>
      <c r="N15" s="53">
        <v>191.4</v>
      </c>
      <c r="O15" s="53">
        <v>1.2</v>
      </c>
      <c r="P15" s="53">
        <v>1.3</v>
      </c>
      <c r="Q15" s="53">
        <v>1.7</v>
      </c>
      <c r="R15" s="53">
        <v>1.2</v>
      </c>
      <c r="S15" s="53">
        <v>1.28</v>
      </c>
      <c r="T15" s="53">
        <v>1139</v>
      </c>
      <c r="U15" s="53">
        <v>1151</v>
      </c>
      <c r="V15" s="53">
        <v>1154</v>
      </c>
      <c r="W15" s="53">
        <v>1146</v>
      </c>
      <c r="X15" s="53">
        <v>1146</v>
      </c>
      <c r="Y15" s="53">
        <v>1</v>
      </c>
      <c r="Z15" s="53" t="s">
        <v>139</v>
      </c>
      <c r="AA15" s="53">
        <v>2021</v>
      </c>
      <c r="AB15" s="53">
        <v>9</v>
      </c>
      <c r="AC15" s="53">
        <v>9</v>
      </c>
      <c r="AD15" s="53">
        <v>9</v>
      </c>
      <c r="AE15" s="53">
        <v>6</v>
      </c>
      <c r="AF15" s="53">
        <v>1</v>
      </c>
      <c r="AG15" s="53">
        <v>15</v>
      </c>
      <c r="AH15" s="53">
        <v>2021</v>
      </c>
      <c r="AI15" s="53" t="s">
        <v>167</v>
      </c>
      <c r="AJ15" s="53" t="s">
        <v>168</v>
      </c>
    </row>
    <row r="16" spans="1:36" hidden="1" x14ac:dyDescent="0.35">
      <c r="A16" s="53">
        <v>53063002400</v>
      </c>
      <c r="B16" s="69">
        <v>1</v>
      </c>
      <c r="C16" s="70" t="s">
        <v>134</v>
      </c>
      <c r="D16" s="71">
        <v>1</v>
      </c>
      <c r="E16" s="53" t="s">
        <v>65</v>
      </c>
      <c r="F16" s="53">
        <v>1978</v>
      </c>
      <c r="G16" s="53">
        <v>20357</v>
      </c>
      <c r="H16" s="53" t="s">
        <v>138</v>
      </c>
      <c r="I16" s="53">
        <v>62</v>
      </c>
      <c r="J16" s="53">
        <v>154.30000000000001</v>
      </c>
      <c r="K16" s="53">
        <v>289.5</v>
      </c>
      <c r="L16" s="53">
        <v>182.3</v>
      </c>
      <c r="M16" s="53">
        <v>171.3</v>
      </c>
      <c r="N16" s="53">
        <v>171.88</v>
      </c>
      <c r="O16" s="53">
        <v>2.2000000000000002</v>
      </c>
      <c r="P16" s="53">
        <v>1.1000000000000001</v>
      </c>
      <c r="Q16" s="53">
        <v>1.3</v>
      </c>
      <c r="R16" s="53">
        <v>1.4</v>
      </c>
      <c r="S16" s="53">
        <v>1.4</v>
      </c>
      <c r="T16" s="53">
        <v>1777</v>
      </c>
      <c r="U16" s="53">
        <v>1846</v>
      </c>
      <c r="V16" s="53">
        <v>1944</v>
      </c>
      <c r="W16" s="53">
        <v>859</v>
      </c>
      <c r="X16" s="53">
        <v>859</v>
      </c>
      <c r="Y16" s="53">
        <v>1</v>
      </c>
      <c r="Z16" s="53" t="s">
        <v>139</v>
      </c>
      <c r="AA16" s="53">
        <v>2021</v>
      </c>
      <c r="AB16" s="53">
        <v>9</v>
      </c>
      <c r="AC16" s="53">
        <v>9</v>
      </c>
      <c r="AD16" s="53">
        <v>9</v>
      </c>
      <c r="AE16" s="53">
        <v>8</v>
      </c>
      <c r="AF16" s="53">
        <v>1</v>
      </c>
      <c r="AG16" s="53">
        <v>17</v>
      </c>
      <c r="AH16" s="53">
        <v>2021</v>
      </c>
      <c r="AI16" s="53" t="s">
        <v>169</v>
      </c>
      <c r="AJ16" s="53" t="s">
        <v>170</v>
      </c>
    </row>
    <row r="17" spans="1:36" hidden="1" x14ac:dyDescent="0.35">
      <c r="A17" s="53">
        <v>53063011102</v>
      </c>
      <c r="B17" s="69">
        <v>1</v>
      </c>
      <c r="C17" s="70" t="s">
        <v>134</v>
      </c>
      <c r="D17" s="71">
        <v>1</v>
      </c>
      <c r="E17" s="53" t="s">
        <v>65</v>
      </c>
      <c r="F17" s="53">
        <v>1882</v>
      </c>
      <c r="G17" s="53">
        <v>39044</v>
      </c>
      <c r="H17" s="53" t="s">
        <v>138</v>
      </c>
      <c r="I17" s="53">
        <v>181</v>
      </c>
      <c r="J17" s="53">
        <v>152.69999999999999</v>
      </c>
      <c r="K17" s="53">
        <v>267.89999999999998</v>
      </c>
      <c r="L17" s="53">
        <v>93.4</v>
      </c>
      <c r="M17" s="53">
        <v>179.5</v>
      </c>
      <c r="N17" s="53">
        <v>174.9</v>
      </c>
      <c r="O17" s="53">
        <v>1.1000000000000001</v>
      </c>
      <c r="P17" s="53">
        <v>1</v>
      </c>
      <c r="Q17" s="53">
        <v>1.7</v>
      </c>
      <c r="R17" s="53">
        <v>1</v>
      </c>
      <c r="S17" s="53">
        <v>1.1599999999999999</v>
      </c>
      <c r="T17" s="53">
        <v>1869</v>
      </c>
      <c r="U17" s="53">
        <v>1697</v>
      </c>
      <c r="V17" s="53">
        <v>1881</v>
      </c>
      <c r="W17" s="53">
        <v>1848</v>
      </c>
      <c r="X17" s="53">
        <v>1848</v>
      </c>
      <c r="Y17" s="53">
        <v>1</v>
      </c>
      <c r="Z17" s="53" t="s">
        <v>139</v>
      </c>
      <c r="AA17" s="53">
        <v>2021</v>
      </c>
      <c r="AB17" s="53">
        <v>10</v>
      </c>
      <c r="AC17" s="53">
        <v>10</v>
      </c>
      <c r="AD17" s="53">
        <v>10</v>
      </c>
      <c r="AE17" s="53">
        <v>8</v>
      </c>
      <c r="AF17" s="53">
        <v>1</v>
      </c>
      <c r="AG17" s="53">
        <v>18</v>
      </c>
      <c r="AH17" s="53">
        <v>2021</v>
      </c>
      <c r="AI17" s="53" t="s">
        <v>171</v>
      </c>
      <c r="AJ17" s="53" t="s">
        <v>172</v>
      </c>
    </row>
    <row r="18" spans="1:36" x14ac:dyDescent="0.35">
      <c r="A18" s="53">
        <v>53065941000</v>
      </c>
      <c r="B18" s="69">
        <v>1</v>
      </c>
      <c r="C18" s="70" t="s">
        <v>134</v>
      </c>
      <c r="D18" s="71">
        <v>1</v>
      </c>
      <c r="E18" s="53" t="s">
        <v>66</v>
      </c>
      <c r="F18" s="53">
        <v>1085</v>
      </c>
      <c r="G18" s="53">
        <v>32500</v>
      </c>
      <c r="H18" s="53" t="s">
        <v>135</v>
      </c>
      <c r="I18" s="53">
        <v>248.1</v>
      </c>
      <c r="J18" s="53">
        <v>873.4</v>
      </c>
      <c r="K18" s="53">
        <v>273.8</v>
      </c>
      <c r="L18" s="53">
        <v>189.3</v>
      </c>
      <c r="M18" s="53">
        <v>252.4</v>
      </c>
      <c r="N18" s="53">
        <v>367.4</v>
      </c>
      <c r="O18" s="53">
        <v>5.5</v>
      </c>
      <c r="P18" s="53">
        <v>4.0999999999999996</v>
      </c>
      <c r="Q18" s="53">
        <v>8.1999999999999993</v>
      </c>
      <c r="R18" s="53">
        <v>5.2</v>
      </c>
      <c r="S18" s="53">
        <v>5.6999999999999993</v>
      </c>
      <c r="T18" s="53">
        <v>1075</v>
      </c>
      <c r="U18" s="53">
        <v>998</v>
      </c>
      <c r="V18" s="53">
        <v>704</v>
      </c>
      <c r="W18" s="53">
        <v>1055</v>
      </c>
      <c r="X18" s="53">
        <v>1055</v>
      </c>
      <c r="Y18" s="53">
        <v>5.5</v>
      </c>
      <c r="Z18" s="53" t="s">
        <v>134</v>
      </c>
      <c r="AA18" s="53">
        <v>2021</v>
      </c>
      <c r="AB18" s="53">
        <v>4</v>
      </c>
      <c r="AC18" s="53">
        <v>4</v>
      </c>
      <c r="AD18" s="53">
        <v>7</v>
      </c>
      <c r="AE18" s="53">
        <v>9</v>
      </c>
      <c r="AF18" s="53">
        <v>1</v>
      </c>
      <c r="AG18" s="53">
        <v>16</v>
      </c>
      <c r="AH18" s="53">
        <v>2021</v>
      </c>
      <c r="AI18" s="53" t="s">
        <v>173</v>
      </c>
      <c r="AJ18" s="53" t="s">
        <v>174</v>
      </c>
    </row>
    <row r="19" spans="1:36" hidden="1" x14ac:dyDescent="0.35">
      <c r="A19" s="53">
        <v>53063012500</v>
      </c>
      <c r="B19" s="69">
        <v>1</v>
      </c>
      <c r="C19" s="70" t="s">
        <v>139</v>
      </c>
      <c r="D19" s="71">
        <v>1</v>
      </c>
      <c r="E19" s="53" t="s">
        <v>65</v>
      </c>
      <c r="F19" s="53">
        <v>1253</v>
      </c>
      <c r="G19" s="53">
        <v>44986</v>
      </c>
      <c r="H19" s="53" t="s">
        <v>152</v>
      </c>
      <c r="I19" s="53">
        <v>282.3</v>
      </c>
      <c r="J19" s="53">
        <v>67.3</v>
      </c>
      <c r="K19" s="53">
        <v>75</v>
      </c>
      <c r="L19" s="53">
        <v>75</v>
      </c>
      <c r="M19" s="53">
        <v>79.5</v>
      </c>
      <c r="N19" s="53">
        <v>115.82</v>
      </c>
      <c r="O19" s="53">
        <v>1</v>
      </c>
      <c r="P19" s="53">
        <v>1.1000000000000001</v>
      </c>
      <c r="Q19" s="53">
        <v>2.6</v>
      </c>
      <c r="R19" s="53">
        <v>2.6</v>
      </c>
      <c r="S19" s="53">
        <v>1.66</v>
      </c>
      <c r="T19" s="53">
        <v>1250</v>
      </c>
      <c r="U19" s="53">
        <v>1246</v>
      </c>
      <c r="V19" s="53">
        <v>1247</v>
      </c>
      <c r="W19" s="53">
        <v>1245</v>
      </c>
      <c r="X19" s="53">
        <v>1245</v>
      </c>
      <c r="Y19" s="53">
        <v>1</v>
      </c>
      <c r="Z19" s="53" t="s">
        <v>139</v>
      </c>
      <c r="AA19" s="53">
        <v>2021</v>
      </c>
      <c r="AB19" s="53">
        <v>8</v>
      </c>
      <c r="AC19" s="53">
        <v>8</v>
      </c>
      <c r="AD19" s="53">
        <v>10</v>
      </c>
      <c r="AE19" s="53">
        <v>7</v>
      </c>
      <c r="AF19" s="53">
        <v>1</v>
      </c>
      <c r="AG19" s="53">
        <v>17</v>
      </c>
      <c r="AH19" s="53">
        <v>2021</v>
      </c>
      <c r="AI19" s="53" t="s">
        <v>175</v>
      </c>
      <c r="AJ19" s="53" t="s">
        <v>176</v>
      </c>
    </row>
    <row r="20" spans="1:36" x14ac:dyDescent="0.35">
      <c r="A20" s="53">
        <v>53019970100</v>
      </c>
      <c r="B20" s="69">
        <v>1</v>
      </c>
      <c r="C20" s="70" t="s">
        <v>134</v>
      </c>
      <c r="D20" s="71">
        <v>1</v>
      </c>
      <c r="E20" s="53" t="s">
        <v>63</v>
      </c>
      <c r="F20" s="53">
        <v>957</v>
      </c>
      <c r="G20" s="53">
        <v>41350</v>
      </c>
      <c r="H20" s="53" t="s">
        <v>135</v>
      </c>
      <c r="I20" s="53">
        <v>194</v>
      </c>
      <c r="J20" s="53">
        <v>202.3</v>
      </c>
      <c r="K20" s="53">
        <v>313</v>
      </c>
      <c r="L20" s="53">
        <v>259</v>
      </c>
      <c r="M20" s="53">
        <v>166</v>
      </c>
      <c r="N20" s="53">
        <v>226.86</v>
      </c>
      <c r="O20" s="53">
        <v>4.7</v>
      </c>
      <c r="P20" s="53">
        <v>4</v>
      </c>
      <c r="Q20" s="53">
        <v>7.8</v>
      </c>
      <c r="R20" s="53">
        <v>7.4</v>
      </c>
      <c r="S20" s="53">
        <v>5.8199999999999994</v>
      </c>
      <c r="T20" s="53">
        <v>914</v>
      </c>
      <c r="U20" s="53">
        <v>803</v>
      </c>
      <c r="V20" s="53">
        <v>922</v>
      </c>
      <c r="W20" s="53">
        <v>917</v>
      </c>
      <c r="X20" s="53">
        <v>917</v>
      </c>
      <c r="Y20" s="53">
        <v>5.2</v>
      </c>
      <c r="Z20" s="53" t="s">
        <v>134</v>
      </c>
      <c r="AA20" s="53">
        <v>2021</v>
      </c>
      <c r="AB20" s="53">
        <v>5</v>
      </c>
      <c r="AC20" s="53">
        <v>5</v>
      </c>
      <c r="AD20" s="53">
        <v>9</v>
      </c>
      <c r="AE20" s="53">
        <v>7</v>
      </c>
      <c r="AF20" s="53">
        <v>1</v>
      </c>
      <c r="AG20" s="53">
        <v>16</v>
      </c>
      <c r="AH20" s="53">
        <v>2021</v>
      </c>
      <c r="AI20" s="53" t="s">
        <v>177</v>
      </c>
      <c r="AJ20" s="53" t="s">
        <v>178</v>
      </c>
    </row>
    <row r="21" spans="1:36" hidden="1" x14ac:dyDescent="0.35">
      <c r="A21" s="53">
        <v>53063002500</v>
      </c>
      <c r="B21" s="69">
        <v>1</v>
      </c>
      <c r="C21" s="70" t="s">
        <v>134</v>
      </c>
      <c r="D21" s="71">
        <v>1</v>
      </c>
      <c r="E21" s="53" t="s">
        <v>65</v>
      </c>
      <c r="F21" s="53">
        <v>2798</v>
      </c>
      <c r="G21" s="53">
        <v>30284</v>
      </c>
      <c r="H21" s="53" t="s">
        <v>138</v>
      </c>
      <c r="I21" s="53">
        <v>155.1</v>
      </c>
      <c r="J21" s="53">
        <v>316.89999999999998</v>
      </c>
      <c r="K21" s="53">
        <v>176</v>
      </c>
      <c r="L21" s="53">
        <v>136.19999999999999</v>
      </c>
      <c r="M21" s="53">
        <v>182.4</v>
      </c>
      <c r="N21" s="53">
        <v>193.32</v>
      </c>
      <c r="O21" s="53">
        <v>1.4</v>
      </c>
      <c r="P21" s="53">
        <v>1.2</v>
      </c>
      <c r="Q21" s="53">
        <v>1</v>
      </c>
      <c r="R21" s="53">
        <v>1.1000000000000001</v>
      </c>
      <c r="S21" s="53">
        <v>1.2</v>
      </c>
      <c r="T21" s="53">
        <v>2791</v>
      </c>
      <c r="U21" s="53">
        <v>2782</v>
      </c>
      <c r="V21" s="53">
        <v>2775</v>
      </c>
      <c r="W21" s="53">
        <v>2286</v>
      </c>
      <c r="X21" s="53">
        <v>2286</v>
      </c>
      <c r="Y21" s="53">
        <v>1.3</v>
      </c>
      <c r="Z21" s="53" t="s">
        <v>139</v>
      </c>
      <c r="AA21" s="53">
        <v>2021</v>
      </c>
      <c r="AB21" s="53">
        <v>10</v>
      </c>
      <c r="AC21" s="53">
        <v>10</v>
      </c>
      <c r="AD21" s="53">
        <v>9</v>
      </c>
      <c r="AE21" s="53">
        <v>8</v>
      </c>
      <c r="AF21" s="53">
        <v>1</v>
      </c>
      <c r="AG21" s="53">
        <v>17</v>
      </c>
      <c r="AH21" s="53">
        <v>2021</v>
      </c>
      <c r="AI21" s="53" t="s">
        <v>179</v>
      </c>
      <c r="AJ21" s="53" t="s">
        <v>180</v>
      </c>
    </row>
    <row r="22" spans="1:36" hidden="1" x14ac:dyDescent="0.35">
      <c r="A22" s="53">
        <v>53001950100</v>
      </c>
      <c r="B22" s="69">
        <v>1</v>
      </c>
      <c r="C22" s="70" t="s">
        <v>139</v>
      </c>
      <c r="D22" s="71">
        <v>1</v>
      </c>
      <c r="E22" s="53" t="s">
        <v>61</v>
      </c>
      <c r="F22" s="53">
        <v>1210</v>
      </c>
      <c r="G22" s="53">
        <v>47813</v>
      </c>
      <c r="H22" s="53" t="s">
        <v>152</v>
      </c>
      <c r="I22" s="53">
        <v>99.8</v>
      </c>
      <c r="J22" s="53">
        <v>280.39999999999998</v>
      </c>
      <c r="K22" s="53">
        <v>121.3</v>
      </c>
      <c r="L22" s="53">
        <v>178.4</v>
      </c>
      <c r="M22" s="53">
        <v>186.8</v>
      </c>
      <c r="N22" s="53">
        <v>173.34</v>
      </c>
      <c r="O22" s="53">
        <v>1.3</v>
      </c>
      <c r="P22" s="53">
        <v>1.2</v>
      </c>
      <c r="Q22" s="53">
        <v>2.2000000000000002</v>
      </c>
      <c r="R22" s="53">
        <v>1.2</v>
      </c>
      <c r="S22" s="53">
        <v>1.48</v>
      </c>
      <c r="T22" s="53">
        <v>1208</v>
      </c>
      <c r="U22" s="53">
        <v>1204</v>
      </c>
      <c r="V22" s="53">
        <v>1207</v>
      </c>
      <c r="W22" s="53">
        <v>1207</v>
      </c>
      <c r="X22" s="53">
        <v>1207</v>
      </c>
      <c r="Y22" s="53">
        <v>1.5</v>
      </c>
      <c r="Z22" s="53" t="s">
        <v>139</v>
      </c>
      <c r="AA22" s="53">
        <v>2021</v>
      </c>
      <c r="AB22" s="53">
        <v>6</v>
      </c>
      <c r="AC22" s="53">
        <v>6</v>
      </c>
      <c r="AD22" s="53">
        <v>10</v>
      </c>
      <c r="AE22" s="53">
        <v>3</v>
      </c>
      <c r="AF22" s="53">
        <v>1</v>
      </c>
      <c r="AG22" s="53">
        <v>13</v>
      </c>
      <c r="AH22" s="53">
        <v>2021</v>
      </c>
      <c r="AI22" s="53" t="s">
        <v>181</v>
      </c>
      <c r="AJ22" s="53" t="s">
        <v>182</v>
      </c>
    </row>
    <row r="23" spans="1:36" hidden="1" x14ac:dyDescent="0.35">
      <c r="A23" s="53">
        <v>53063001900</v>
      </c>
      <c r="B23" s="69">
        <v>1</v>
      </c>
      <c r="C23" s="70" t="s">
        <v>134</v>
      </c>
      <c r="D23" s="71">
        <v>0</v>
      </c>
      <c r="E23" s="53" t="s">
        <v>65</v>
      </c>
      <c r="F23" s="53">
        <v>1869</v>
      </c>
      <c r="G23" s="53">
        <v>45968</v>
      </c>
      <c r="H23" s="53" t="s">
        <v>138</v>
      </c>
      <c r="I23" s="53">
        <v>68.599999999999994</v>
      </c>
      <c r="J23" s="53">
        <v>209.7</v>
      </c>
      <c r="K23" s="53">
        <v>186.5</v>
      </c>
      <c r="L23" s="53">
        <v>231.6</v>
      </c>
      <c r="M23" s="53">
        <v>114.7</v>
      </c>
      <c r="N23" s="53">
        <v>162.22</v>
      </c>
      <c r="O23" s="53">
        <v>1.8</v>
      </c>
      <c r="P23" s="53">
        <v>1.2</v>
      </c>
      <c r="Q23" s="53">
        <v>1</v>
      </c>
      <c r="R23" s="53">
        <v>1.6</v>
      </c>
      <c r="S23" s="53">
        <v>1.44</v>
      </c>
      <c r="T23" s="53">
        <v>1850</v>
      </c>
      <c r="U23" s="53">
        <v>1859</v>
      </c>
      <c r="V23" s="53">
        <v>1867</v>
      </c>
      <c r="W23" s="53">
        <v>1844</v>
      </c>
      <c r="X23" s="53">
        <v>1844</v>
      </c>
      <c r="Y23" s="53">
        <v>1.6</v>
      </c>
      <c r="Z23" s="53" t="s">
        <v>139</v>
      </c>
      <c r="AA23" s="53">
        <v>2021</v>
      </c>
      <c r="AB23" s="53">
        <v>9</v>
      </c>
      <c r="AC23" s="53">
        <v>9</v>
      </c>
      <c r="AD23" s="53">
        <v>8</v>
      </c>
      <c r="AE23" s="53">
        <v>6</v>
      </c>
      <c r="AF23" s="53">
        <v>1</v>
      </c>
      <c r="AG23" s="53">
        <v>14</v>
      </c>
      <c r="AH23" s="53">
        <v>2021</v>
      </c>
      <c r="AI23" s="53" t="s">
        <v>183</v>
      </c>
      <c r="AJ23" s="53" t="s">
        <v>184</v>
      </c>
    </row>
    <row r="24" spans="1:36" hidden="1" x14ac:dyDescent="0.35">
      <c r="A24" s="53">
        <v>53063000200</v>
      </c>
      <c r="B24" s="69">
        <v>1</v>
      </c>
      <c r="C24" s="70" t="s">
        <v>134</v>
      </c>
      <c r="D24" s="71">
        <v>1</v>
      </c>
      <c r="E24" s="53" t="s">
        <v>65</v>
      </c>
      <c r="F24" s="53">
        <v>2197</v>
      </c>
      <c r="G24" s="53">
        <v>32833</v>
      </c>
      <c r="H24" s="53" t="s">
        <v>138</v>
      </c>
      <c r="I24" s="53">
        <v>66.7</v>
      </c>
      <c r="J24" s="53">
        <v>93.9</v>
      </c>
      <c r="K24" s="53">
        <v>68.099999999999994</v>
      </c>
      <c r="L24" s="53">
        <v>113.6</v>
      </c>
      <c r="M24" s="53">
        <v>222.2</v>
      </c>
      <c r="N24" s="53">
        <v>112.9</v>
      </c>
      <c r="O24" s="53">
        <v>2.1</v>
      </c>
      <c r="P24" s="53">
        <v>1.1000000000000001</v>
      </c>
      <c r="Q24" s="53">
        <v>1</v>
      </c>
      <c r="R24" s="53">
        <v>1.1000000000000001</v>
      </c>
      <c r="S24" s="53">
        <v>1.3</v>
      </c>
      <c r="T24" s="53">
        <v>2115</v>
      </c>
      <c r="U24" s="53">
        <v>2114</v>
      </c>
      <c r="V24" s="53">
        <v>2134</v>
      </c>
      <c r="W24" s="53">
        <v>2010</v>
      </c>
      <c r="X24" s="53">
        <v>2010</v>
      </c>
      <c r="Y24" s="53">
        <v>1.2</v>
      </c>
      <c r="Z24" s="53" t="s">
        <v>139</v>
      </c>
      <c r="AA24" s="53">
        <v>2021</v>
      </c>
      <c r="AB24" s="53">
        <v>10</v>
      </c>
      <c r="AC24" s="53">
        <v>10</v>
      </c>
      <c r="AD24" s="53">
        <v>10</v>
      </c>
      <c r="AE24" s="53">
        <v>9</v>
      </c>
      <c r="AF24" s="53">
        <v>1</v>
      </c>
      <c r="AG24" s="53">
        <v>19</v>
      </c>
      <c r="AH24" s="53">
        <v>2021</v>
      </c>
      <c r="AI24" s="53" t="s">
        <v>185</v>
      </c>
      <c r="AJ24" s="53" t="s">
        <v>186</v>
      </c>
    </row>
    <row r="25" spans="1:36" hidden="1" x14ac:dyDescent="0.35">
      <c r="A25" s="53">
        <v>53065950300</v>
      </c>
      <c r="B25" s="69">
        <v>1</v>
      </c>
      <c r="C25" s="70" t="s">
        <v>139</v>
      </c>
      <c r="D25" s="71">
        <v>1</v>
      </c>
      <c r="E25" s="53" t="s">
        <v>66</v>
      </c>
      <c r="F25" s="53">
        <v>1664</v>
      </c>
      <c r="G25" s="53">
        <v>38305</v>
      </c>
      <c r="H25" s="53" t="s">
        <v>152</v>
      </c>
      <c r="I25" s="53">
        <v>99.3</v>
      </c>
      <c r="J25" s="53">
        <v>48.7</v>
      </c>
      <c r="K25" s="53">
        <v>143.30000000000001</v>
      </c>
      <c r="L25" s="53">
        <v>164</v>
      </c>
      <c r="M25" s="53">
        <v>132.69999999999999</v>
      </c>
      <c r="N25" s="53">
        <v>117.6</v>
      </c>
      <c r="O25" s="53">
        <v>3.2</v>
      </c>
      <c r="P25" s="53">
        <v>1.3</v>
      </c>
      <c r="Q25" s="53">
        <v>1.2</v>
      </c>
      <c r="R25" s="53">
        <v>2.1</v>
      </c>
      <c r="S25" s="53">
        <v>1.82</v>
      </c>
      <c r="T25" s="53">
        <v>1648</v>
      </c>
      <c r="U25" s="53">
        <v>1269</v>
      </c>
      <c r="V25" s="53">
        <v>1658</v>
      </c>
      <c r="W25" s="53">
        <v>1653</v>
      </c>
      <c r="X25" s="53">
        <v>1653</v>
      </c>
      <c r="Y25" s="53">
        <v>1.3</v>
      </c>
      <c r="Z25" s="53" t="s">
        <v>139</v>
      </c>
      <c r="AA25" s="53">
        <v>2021</v>
      </c>
      <c r="AB25" s="53">
        <v>5</v>
      </c>
      <c r="AC25" s="53">
        <v>5</v>
      </c>
      <c r="AD25" s="53">
        <v>9</v>
      </c>
      <c r="AE25" s="53">
        <v>6</v>
      </c>
      <c r="AF25" s="53">
        <v>1</v>
      </c>
      <c r="AG25" s="53">
        <v>15</v>
      </c>
      <c r="AH25" s="53">
        <v>2021</v>
      </c>
      <c r="AI25" s="53" t="s">
        <v>187</v>
      </c>
      <c r="AJ25" s="53" t="s">
        <v>188</v>
      </c>
    </row>
    <row r="26" spans="1:36" hidden="1" x14ac:dyDescent="0.35">
      <c r="A26" s="53">
        <v>53063002000</v>
      </c>
      <c r="B26" s="69">
        <v>1</v>
      </c>
      <c r="C26" s="70" t="s">
        <v>134</v>
      </c>
      <c r="D26" s="71">
        <v>1</v>
      </c>
      <c r="E26" s="53" t="s">
        <v>65</v>
      </c>
      <c r="F26" s="53">
        <v>2236</v>
      </c>
      <c r="G26" s="53">
        <v>33355</v>
      </c>
      <c r="H26" s="53" t="s">
        <v>138</v>
      </c>
      <c r="I26" s="53">
        <v>92.9</v>
      </c>
      <c r="J26" s="53">
        <v>115.4</v>
      </c>
      <c r="K26" s="53">
        <v>76.3</v>
      </c>
      <c r="L26" s="53">
        <v>93</v>
      </c>
      <c r="M26" s="53">
        <v>93.1</v>
      </c>
      <c r="N26" s="53">
        <v>94.140000000000015</v>
      </c>
      <c r="O26" s="53">
        <v>1.4</v>
      </c>
      <c r="P26" s="53">
        <v>1</v>
      </c>
      <c r="Q26" s="53">
        <v>1</v>
      </c>
      <c r="R26" s="53">
        <v>1</v>
      </c>
      <c r="S26" s="53">
        <v>1.28</v>
      </c>
      <c r="T26" s="53">
        <v>2222</v>
      </c>
      <c r="U26" s="53">
        <v>2219</v>
      </c>
      <c r="V26" s="53">
        <v>2226</v>
      </c>
      <c r="W26" s="53">
        <v>1011</v>
      </c>
      <c r="X26" s="53">
        <v>1011</v>
      </c>
      <c r="Y26" s="53">
        <v>2</v>
      </c>
      <c r="Z26" s="53" t="s">
        <v>139</v>
      </c>
      <c r="AA26" s="53">
        <v>2021</v>
      </c>
      <c r="AB26" s="53">
        <v>9</v>
      </c>
      <c r="AC26" s="53">
        <v>9</v>
      </c>
      <c r="AD26" s="53">
        <v>10</v>
      </c>
      <c r="AE26" s="53">
        <v>8</v>
      </c>
      <c r="AF26" s="53">
        <v>1</v>
      </c>
      <c r="AG26" s="53">
        <v>18</v>
      </c>
      <c r="AH26" s="53">
        <v>2021</v>
      </c>
      <c r="AI26" s="53" t="s">
        <v>189</v>
      </c>
      <c r="AJ26" s="53" t="s">
        <v>190</v>
      </c>
    </row>
    <row r="27" spans="1:36" hidden="1" x14ac:dyDescent="0.35">
      <c r="A27" s="53">
        <v>53063012200</v>
      </c>
      <c r="B27" s="69">
        <v>1</v>
      </c>
      <c r="C27" s="70" t="s">
        <v>134</v>
      </c>
      <c r="D27" s="71">
        <v>1</v>
      </c>
      <c r="E27" s="53" t="s">
        <v>65</v>
      </c>
      <c r="F27" s="53">
        <v>2106</v>
      </c>
      <c r="G27" s="53">
        <v>48750</v>
      </c>
      <c r="H27" s="53" t="s">
        <v>152</v>
      </c>
      <c r="I27" s="53">
        <v>124.3</v>
      </c>
      <c r="J27" s="53">
        <v>137.5</v>
      </c>
      <c r="K27" s="53">
        <v>64</v>
      </c>
      <c r="L27" s="53">
        <v>169.1</v>
      </c>
      <c r="M27" s="53">
        <v>53.2</v>
      </c>
      <c r="N27" s="53">
        <v>109.62</v>
      </c>
      <c r="O27" s="53">
        <v>1.7</v>
      </c>
      <c r="P27" s="53">
        <v>1.1000000000000001</v>
      </c>
      <c r="Q27" s="53">
        <v>1.7</v>
      </c>
      <c r="R27" s="53">
        <v>1</v>
      </c>
      <c r="S27" s="53">
        <v>1.3</v>
      </c>
      <c r="T27" s="53">
        <v>2091</v>
      </c>
      <c r="U27" s="53">
        <v>2068</v>
      </c>
      <c r="V27" s="53">
        <v>2089</v>
      </c>
      <c r="W27" s="53">
        <v>2090</v>
      </c>
      <c r="X27" s="53">
        <v>2090</v>
      </c>
      <c r="Y27" s="53">
        <v>1</v>
      </c>
      <c r="Z27" s="53" t="s">
        <v>139</v>
      </c>
      <c r="AA27" s="53">
        <v>2021</v>
      </c>
      <c r="AB27" s="53">
        <v>10</v>
      </c>
      <c r="AC27" s="53">
        <v>10</v>
      </c>
      <c r="AD27" s="53">
        <v>9</v>
      </c>
      <c r="AE27" s="53">
        <v>7</v>
      </c>
      <c r="AF27" s="53">
        <v>1</v>
      </c>
      <c r="AG27" s="53">
        <v>16</v>
      </c>
      <c r="AH27" s="53">
        <v>2021</v>
      </c>
      <c r="AI27" s="53" t="s">
        <v>191</v>
      </c>
      <c r="AJ27" s="53" t="s">
        <v>192</v>
      </c>
    </row>
    <row r="28" spans="1:36" hidden="1" x14ac:dyDescent="0.35">
      <c r="A28" s="53">
        <v>53001950300</v>
      </c>
      <c r="B28" s="69">
        <v>1</v>
      </c>
      <c r="C28" s="70" t="s">
        <v>139</v>
      </c>
      <c r="D28" s="71">
        <v>1</v>
      </c>
      <c r="E28" s="53" t="s">
        <v>61</v>
      </c>
      <c r="F28" s="53">
        <v>2005</v>
      </c>
      <c r="G28" s="53">
        <v>44107</v>
      </c>
      <c r="H28" s="53" t="s">
        <v>152</v>
      </c>
      <c r="I28" s="53">
        <v>140.5</v>
      </c>
      <c r="J28" s="53">
        <v>172.1</v>
      </c>
      <c r="K28" s="53">
        <v>179.1</v>
      </c>
      <c r="L28" s="53">
        <v>194.1</v>
      </c>
      <c r="M28" s="53">
        <v>483.6</v>
      </c>
      <c r="N28" s="53">
        <v>233.88</v>
      </c>
      <c r="O28" s="53">
        <v>1.4</v>
      </c>
      <c r="P28" s="53">
        <v>2</v>
      </c>
      <c r="Q28" s="53">
        <v>2</v>
      </c>
      <c r="R28" s="53">
        <v>2.2999999999999998</v>
      </c>
      <c r="S28" s="53">
        <v>1.84</v>
      </c>
      <c r="T28" s="53">
        <v>1951</v>
      </c>
      <c r="U28" s="53">
        <v>1957</v>
      </c>
      <c r="V28" s="53">
        <v>1975</v>
      </c>
      <c r="W28" s="53">
        <v>1964</v>
      </c>
      <c r="X28" s="53">
        <v>1964</v>
      </c>
      <c r="Y28" s="53">
        <v>1.5</v>
      </c>
      <c r="Z28" s="53" t="s">
        <v>139</v>
      </c>
      <c r="AA28" s="53">
        <v>2021</v>
      </c>
      <c r="AB28" s="53">
        <v>7</v>
      </c>
      <c r="AC28" s="53">
        <v>7</v>
      </c>
      <c r="AD28" s="53">
        <v>7</v>
      </c>
      <c r="AE28" s="53">
        <v>10</v>
      </c>
      <c r="AF28" s="53">
        <v>1</v>
      </c>
      <c r="AG28" s="53">
        <v>17</v>
      </c>
      <c r="AH28" s="53">
        <v>2021</v>
      </c>
      <c r="AI28" s="53" t="s">
        <v>193</v>
      </c>
      <c r="AJ28" s="53" t="s">
        <v>194</v>
      </c>
    </row>
    <row r="29" spans="1:36" hidden="1" x14ac:dyDescent="0.35">
      <c r="A29" s="53">
        <v>53063002600</v>
      </c>
      <c r="B29" s="69">
        <v>1</v>
      </c>
      <c r="C29" s="70" t="s">
        <v>134</v>
      </c>
      <c r="D29" s="71">
        <v>1</v>
      </c>
      <c r="E29" s="53" t="s">
        <v>65</v>
      </c>
      <c r="F29" s="53">
        <v>2503</v>
      </c>
      <c r="G29" s="53">
        <v>37188</v>
      </c>
      <c r="H29" s="53" t="s">
        <v>195</v>
      </c>
      <c r="I29" s="53">
        <v>31.6</v>
      </c>
      <c r="J29" s="53">
        <v>112.5</v>
      </c>
      <c r="K29" s="53">
        <v>204.4</v>
      </c>
      <c r="L29" s="53">
        <v>117.2</v>
      </c>
      <c r="M29" s="53">
        <v>163.69999999999999</v>
      </c>
      <c r="N29" s="53">
        <v>125.88</v>
      </c>
      <c r="O29" s="53">
        <v>1.4</v>
      </c>
      <c r="P29" s="53">
        <v>1.2</v>
      </c>
      <c r="Q29" s="53">
        <v>1.1000000000000001</v>
      </c>
      <c r="R29" s="53">
        <v>1.2</v>
      </c>
      <c r="S29" s="53">
        <v>1.3</v>
      </c>
      <c r="T29" s="53">
        <v>2381</v>
      </c>
      <c r="U29" s="53">
        <v>2382</v>
      </c>
      <c r="V29" s="53">
        <v>2466</v>
      </c>
      <c r="W29" s="53">
        <v>420</v>
      </c>
      <c r="X29" s="53">
        <v>420</v>
      </c>
      <c r="Y29" s="53">
        <v>1.6</v>
      </c>
      <c r="Z29" s="53" t="s">
        <v>139</v>
      </c>
      <c r="AA29" s="53">
        <v>2021</v>
      </c>
      <c r="AB29" s="53">
        <v>10</v>
      </c>
      <c r="AC29" s="53">
        <v>10</v>
      </c>
      <c r="AD29" s="53">
        <v>10</v>
      </c>
      <c r="AE29" s="53">
        <v>10</v>
      </c>
      <c r="AF29" s="53">
        <v>1</v>
      </c>
      <c r="AG29" s="53">
        <v>20</v>
      </c>
      <c r="AH29" s="53">
        <v>2021</v>
      </c>
      <c r="AI29" s="53" t="s">
        <v>196</v>
      </c>
      <c r="AJ29" s="53" t="s">
        <v>197</v>
      </c>
    </row>
    <row r="30" spans="1:36" hidden="1" x14ac:dyDescent="0.35">
      <c r="A30" s="53">
        <v>53063011701</v>
      </c>
      <c r="B30" s="69">
        <v>1</v>
      </c>
      <c r="C30" s="70" t="s">
        <v>134</v>
      </c>
      <c r="D30" s="71">
        <v>1</v>
      </c>
      <c r="E30" s="53" t="s">
        <v>65</v>
      </c>
      <c r="F30" s="53">
        <v>848</v>
      </c>
      <c r="G30" s="53">
        <v>48257</v>
      </c>
      <c r="H30" s="53" t="s">
        <v>166</v>
      </c>
      <c r="I30" s="53">
        <v>67.3</v>
      </c>
      <c r="J30" s="53">
        <v>120.5</v>
      </c>
      <c r="K30" s="53">
        <v>122.6</v>
      </c>
      <c r="L30" s="53">
        <v>146.30000000000001</v>
      </c>
      <c r="M30" s="53">
        <v>108.1</v>
      </c>
      <c r="N30" s="53">
        <v>112.96</v>
      </c>
      <c r="O30" s="53">
        <v>1.9</v>
      </c>
      <c r="P30" s="53">
        <v>1.2</v>
      </c>
      <c r="Q30" s="53">
        <v>1.5</v>
      </c>
      <c r="R30" s="53">
        <v>1</v>
      </c>
      <c r="S30" s="53">
        <v>1.38</v>
      </c>
      <c r="T30" s="53">
        <v>839</v>
      </c>
      <c r="U30" s="53">
        <v>835</v>
      </c>
      <c r="V30" s="53">
        <v>841</v>
      </c>
      <c r="W30" s="53">
        <v>839</v>
      </c>
      <c r="X30" s="53">
        <v>839</v>
      </c>
      <c r="Y30" s="53">
        <v>1.3</v>
      </c>
      <c r="Z30" s="53" t="s">
        <v>139</v>
      </c>
      <c r="AA30" s="53">
        <v>2021</v>
      </c>
      <c r="AB30" s="53">
        <v>10</v>
      </c>
      <c r="AC30" s="53">
        <v>10</v>
      </c>
      <c r="AD30" s="53">
        <v>9</v>
      </c>
      <c r="AE30" s="53">
        <v>7</v>
      </c>
      <c r="AF30" s="53">
        <v>1</v>
      </c>
      <c r="AG30" s="53">
        <v>16</v>
      </c>
      <c r="AH30" s="53">
        <v>2021</v>
      </c>
      <c r="AI30" s="53" t="s">
        <v>198</v>
      </c>
      <c r="AJ30" s="53" t="s">
        <v>199</v>
      </c>
    </row>
    <row r="31" spans="1:36" hidden="1" x14ac:dyDescent="0.35">
      <c r="A31" s="53">
        <v>53063001800</v>
      </c>
      <c r="B31" s="69">
        <v>1</v>
      </c>
      <c r="C31" s="70" t="s">
        <v>134</v>
      </c>
      <c r="D31" s="71">
        <v>1</v>
      </c>
      <c r="E31" s="53" t="s">
        <v>65</v>
      </c>
      <c r="F31" s="53">
        <v>1455</v>
      </c>
      <c r="G31" s="53">
        <v>38947</v>
      </c>
      <c r="H31" s="53" t="s">
        <v>138</v>
      </c>
      <c r="I31" s="53">
        <v>107.9</v>
      </c>
      <c r="J31" s="53">
        <v>158.9</v>
      </c>
      <c r="K31" s="53">
        <v>306.89999999999998</v>
      </c>
      <c r="L31" s="53">
        <v>129.69999999999999</v>
      </c>
      <c r="M31" s="53">
        <v>123.2</v>
      </c>
      <c r="N31" s="53">
        <v>165.32</v>
      </c>
      <c r="O31" s="53">
        <v>1.7</v>
      </c>
      <c r="P31" s="53">
        <v>1</v>
      </c>
      <c r="Q31" s="53">
        <v>1.2</v>
      </c>
      <c r="R31" s="53">
        <v>1</v>
      </c>
      <c r="S31" s="53">
        <v>1.22</v>
      </c>
      <c r="T31" s="53">
        <v>1443</v>
      </c>
      <c r="U31" s="53">
        <v>1442</v>
      </c>
      <c r="V31" s="53">
        <v>1446</v>
      </c>
      <c r="W31" s="53">
        <v>1018</v>
      </c>
      <c r="X31" s="53">
        <v>1018</v>
      </c>
      <c r="Y31" s="53">
        <v>1.2</v>
      </c>
      <c r="Z31" s="53" t="s">
        <v>139</v>
      </c>
      <c r="AA31" s="53">
        <v>2021</v>
      </c>
      <c r="AB31" s="53">
        <v>9</v>
      </c>
      <c r="AC31" s="53">
        <v>9</v>
      </c>
      <c r="AD31" s="53">
        <v>9</v>
      </c>
      <c r="AE31" s="53">
        <v>8</v>
      </c>
      <c r="AF31" s="53">
        <v>1</v>
      </c>
      <c r="AG31" s="53">
        <v>17</v>
      </c>
      <c r="AH31" s="53">
        <v>2021</v>
      </c>
      <c r="AI31" s="53" t="s">
        <v>200</v>
      </c>
      <c r="AJ31" s="53" t="s">
        <v>201</v>
      </c>
    </row>
    <row r="32" spans="1:36" hidden="1" x14ac:dyDescent="0.35">
      <c r="A32" s="53">
        <v>53001950500</v>
      </c>
      <c r="B32" s="69">
        <v>1</v>
      </c>
      <c r="C32" s="70" t="s">
        <v>139</v>
      </c>
      <c r="D32" s="71">
        <v>1</v>
      </c>
      <c r="E32" s="53" t="s">
        <v>61</v>
      </c>
      <c r="F32" s="53">
        <v>1764</v>
      </c>
      <c r="G32" s="53">
        <v>54223</v>
      </c>
      <c r="H32" s="53" t="s">
        <v>152</v>
      </c>
      <c r="I32" s="53">
        <v>62.2</v>
      </c>
      <c r="J32" s="53">
        <v>276.2</v>
      </c>
      <c r="K32" s="53">
        <v>147.6</v>
      </c>
      <c r="L32" s="53">
        <v>45.6</v>
      </c>
      <c r="M32" s="53">
        <v>514.79999999999995</v>
      </c>
      <c r="N32" s="53">
        <v>209.28</v>
      </c>
      <c r="O32" s="53">
        <v>1.1000000000000001</v>
      </c>
      <c r="P32" s="53">
        <v>1.4</v>
      </c>
      <c r="Q32" s="53">
        <v>1.8</v>
      </c>
      <c r="R32" s="53">
        <v>1.6</v>
      </c>
      <c r="S32" s="53">
        <v>1.42</v>
      </c>
      <c r="T32" s="53">
        <v>1663</v>
      </c>
      <c r="U32" s="53">
        <v>1655</v>
      </c>
      <c r="V32" s="53">
        <v>1671</v>
      </c>
      <c r="W32" s="53">
        <v>1667</v>
      </c>
      <c r="X32" s="53">
        <v>1667</v>
      </c>
      <c r="Y32" s="53">
        <v>1.2</v>
      </c>
      <c r="Z32" s="53" t="s">
        <v>139</v>
      </c>
      <c r="AA32" s="53">
        <v>2021</v>
      </c>
      <c r="AB32" s="53">
        <v>7</v>
      </c>
      <c r="AC32" s="53">
        <v>7</v>
      </c>
      <c r="AD32" s="53">
        <v>10</v>
      </c>
      <c r="AE32" s="53">
        <v>10</v>
      </c>
      <c r="AF32" s="53">
        <v>1</v>
      </c>
      <c r="AG32" s="53">
        <v>20</v>
      </c>
      <c r="AH32" s="53">
        <v>2021</v>
      </c>
      <c r="AI32" s="53" t="s">
        <v>202</v>
      </c>
      <c r="AJ32" s="53" t="s">
        <v>203</v>
      </c>
    </row>
    <row r="33" spans="1:36" hidden="1" x14ac:dyDescent="0.35">
      <c r="A33" s="53">
        <v>53063003200</v>
      </c>
      <c r="B33" s="69">
        <v>1</v>
      </c>
      <c r="C33" s="70" t="s">
        <v>134</v>
      </c>
      <c r="D33" s="71">
        <v>1</v>
      </c>
      <c r="E33" s="53" t="s">
        <v>65</v>
      </c>
      <c r="F33" s="53">
        <v>1635</v>
      </c>
      <c r="G33" s="53">
        <v>33770</v>
      </c>
      <c r="H33" s="53" t="s">
        <v>161</v>
      </c>
      <c r="I33" s="53">
        <v>58.5</v>
      </c>
      <c r="J33" s="53">
        <v>119.9</v>
      </c>
      <c r="K33" s="53">
        <v>94.9</v>
      </c>
      <c r="L33" s="53">
        <v>46.6</v>
      </c>
      <c r="M33" s="53">
        <v>69.5</v>
      </c>
      <c r="N33" s="53">
        <v>77.88000000000001</v>
      </c>
      <c r="O33" s="53">
        <v>1.3</v>
      </c>
      <c r="P33" s="53">
        <v>1.1000000000000001</v>
      </c>
      <c r="Q33" s="53">
        <v>2.2000000000000002</v>
      </c>
      <c r="R33" s="53">
        <v>1.3</v>
      </c>
      <c r="S33" s="53">
        <v>1.38</v>
      </c>
      <c r="T33" s="53">
        <v>1628</v>
      </c>
      <c r="U33" s="53">
        <v>1608</v>
      </c>
      <c r="V33" s="53">
        <v>1628</v>
      </c>
      <c r="W33" s="53">
        <v>1603</v>
      </c>
      <c r="X33" s="53">
        <v>1603</v>
      </c>
      <c r="Y33" s="53">
        <v>1</v>
      </c>
      <c r="Z33" s="53" t="s">
        <v>139</v>
      </c>
      <c r="AA33" s="53">
        <v>2021</v>
      </c>
      <c r="AB33" s="53">
        <v>10</v>
      </c>
      <c r="AC33" s="53">
        <v>10</v>
      </c>
      <c r="AD33" s="53">
        <v>10</v>
      </c>
      <c r="AE33" s="53">
        <v>6</v>
      </c>
      <c r="AF33" s="53">
        <v>1</v>
      </c>
      <c r="AG33" s="53">
        <v>16</v>
      </c>
      <c r="AH33" s="53">
        <v>2021</v>
      </c>
      <c r="AI33" s="53" t="s">
        <v>204</v>
      </c>
      <c r="AJ33" s="53" t="s">
        <v>205</v>
      </c>
    </row>
    <row r="34" spans="1:36" hidden="1" x14ac:dyDescent="0.35">
      <c r="A34" s="53">
        <v>53063001500</v>
      </c>
      <c r="B34" s="69">
        <v>1</v>
      </c>
      <c r="C34" s="70" t="s">
        <v>134</v>
      </c>
      <c r="D34" s="71">
        <v>1</v>
      </c>
      <c r="E34" s="53" t="s">
        <v>65</v>
      </c>
      <c r="F34" s="53">
        <v>2319</v>
      </c>
      <c r="G34" s="53">
        <v>45625</v>
      </c>
      <c r="H34" s="53" t="s">
        <v>138</v>
      </c>
      <c r="I34" s="53">
        <v>217.9</v>
      </c>
      <c r="J34" s="53">
        <v>178.4</v>
      </c>
      <c r="K34" s="53">
        <v>189</v>
      </c>
      <c r="L34" s="53">
        <v>129.69999999999999</v>
      </c>
      <c r="M34" s="53">
        <v>136.5</v>
      </c>
      <c r="N34" s="53">
        <v>170.3</v>
      </c>
      <c r="O34" s="53">
        <v>1.8</v>
      </c>
      <c r="P34" s="53">
        <v>1.3</v>
      </c>
      <c r="Q34" s="53">
        <v>1.3</v>
      </c>
      <c r="R34" s="53">
        <v>1.3</v>
      </c>
      <c r="S34" s="53">
        <v>1.38</v>
      </c>
      <c r="T34" s="53">
        <v>2315</v>
      </c>
      <c r="U34" s="53">
        <v>2315</v>
      </c>
      <c r="V34" s="53">
        <v>2319</v>
      </c>
      <c r="W34" s="53">
        <v>2079</v>
      </c>
      <c r="X34" s="53">
        <v>2079</v>
      </c>
      <c r="Y34" s="53">
        <v>1.2</v>
      </c>
      <c r="Z34" s="53" t="s">
        <v>139</v>
      </c>
      <c r="AA34" s="53">
        <v>2021</v>
      </c>
      <c r="AB34" s="53">
        <v>9</v>
      </c>
      <c r="AC34" s="53">
        <v>9</v>
      </c>
      <c r="AD34" s="53">
        <v>9</v>
      </c>
      <c r="AE34" s="53">
        <v>9</v>
      </c>
      <c r="AF34" s="53">
        <v>1</v>
      </c>
      <c r="AG34" s="53">
        <v>18</v>
      </c>
      <c r="AH34" s="53">
        <v>2021</v>
      </c>
      <c r="AI34" s="53" t="s">
        <v>206</v>
      </c>
      <c r="AJ34" s="53" t="s">
        <v>207</v>
      </c>
    </row>
    <row r="35" spans="1:36" hidden="1" x14ac:dyDescent="0.35">
      <c r="A35" s="53">
        <v>53063001600</v>
      </c>
      <c r="B35" s="69">
        <v>1</v>
      </c>
      <c r="C35" s="70" t="s">
        <v>134</v>
      </c>
      <c r="D35" s="71">
        <v>1</v>
      </c>
      <c r="E35" s="53" t="s">
        <v>65</v>
      </c>
      <c r="F35" s="53">
        <v>1774</v>
      </c>
      <c r="G35" s="53">
        <v>33242</v>
      </c>
      <c r="H35" s="53" t="s">
        <v>138</v>
      </c>
      <c r="I35" s="53">
        <v>30.6</v>
      </c>
      <c r="J35" s="53">
        <v>84.3</v>
      </c>
      <c r="K35" s="53">
        <v>294.2</v>
      </c>
      <c r="L35" s="53">
        <v>56.5</v>
      </c>
      <c r="M35" s="53">
        <v>120.6</v>
      </c>
      <c r="N35" s="53">
        <v>117.24</v>
      </c>
      <c r="O35" s="53">
        <v>1.5</v>
      </c>
      <c r="P35" s="53">
        <v>1.5</v>
      </c>
      <c r="Q35" s="53">
        <v>1.2</v>
      </c>
      <c r="R35" s="53">
        <v>1.1000000000000001</v>
      </c>
      <c r="S35" s="53">
        <v>1.34</v>
      </c>
      <c r="T35" s="53">
        <v>1750</v>
      </c>
      <c r="U35" s="53">
        <v>1751</v>
      </c>
      <c r="V35" s="53">
        <v>1759</v>
      </c>
      <c r="W35" s="53">
        <v>1400</v>
      </c>
      <c r="X35" s="53">
        <v>1400</v>
      </c>
      <c r="Y35" s="53">
        <v>1.4</v>
      </c>
      <c r="Z35" s="53" t="s">
        <v>139</v>
      </c>
      <c r="AA35" s="53">
        <v>2021</v>
      </c>
      <c r="AB35" s="53">
        <v>9</v>
      </c>
      <c r="AC35" s="53">
        <v>9</v>
      </c>
      <c r="AD35" s="53">
        <v>8</v>
      </c>
      <c r="AE35" s="53">
        <v>9</v>
      </c>
      <c r="AF35" s="53">
        <v>1</v>
      </c>
      <c r="AG35" s="53">
        <v>17</v>
      </c>
      <c r="AH35" s="53">
        <v>2021</v>
      </c>
      <c r="AI35" s="53" t="s">
        <v>208</v>
      </c>
      <c r="AJ35" s="53" t="s">
        <v>209</v>
      </c>
    </row>
    <row r="36" spans="1:36" hidden="1" x14ac:dyDescent="0.35">
      <c r="A36" s="53">
        <v>53063001400</v>
      </c>
      <c r="B36" s="69">
        <v>1</v>
      </c>
      <c r="C36" s="70" t="s">
        <v>134</v>
      </c>
      <c r="D36" s="71">
        <v>1</v>
      </c>
      <c r="E36" s="53" t="s">
        <v>65</v>
      </c>
      <c r="F36" s="53">
        <v>3027</v>
      </c>
      <c r="G36" s="53">
        <v>37531</v>
      </c>
      <c r="H36" s="53" t="s">
        <v>138</v>
      </c>
      <c r="I36" s="53">
        <v>284.5</v>
      </c>
      <c r="J36" s="53">
        <v>326.5</v>
      </c>
      <c r="K36" s="53">
        <v>195</v>
      </c>
      <c r="L36" s="53">
        <v>136.19999999999999</v>
      </c>
      <c r="M36" s="53">
        <v>264.10000000000002</v>
      </c>
      <c r="N36" s="53">
        <v>241.26</v>
      </c>
      <c r="O36" s="53">
        <v>1.6</v>
      </c>
      <c r="P36" s="53">
        <v>1.3</v>
      </c>
      <c r="Q36" s="53">
        <v>1.1000000000000001</v>
      </c>
      <c r="R36" s="53">
        <v>1</v>
      </c>
      <c r="S36" s="53">
        <v>1.24</v>
      </c>
      <c r="T36" s="53">
        <v>3002</v>
      </c>
      <c r="U36" s="53">
        <v>3000</v>
      </c>
      <c r="V36" s="53">
        <v>3004</v>
      </c>
      <c r="W36" s="53">
        <v>2842</v>
      </c>
      <c r="X36" s="53">
        <v>2842</v>
      </c>
      <c r="Y36" s="53">
        <v>1.2</v>
      </c>
      <c r="Z36" s="53" t="s">
        <v>139</v>
      </c>
      <c r="AA36" s="53">
        <v>2021</v>
      </c>
      <c r="AB36" s="53">
        <v>10</v>
      </c>
      <c r="AC36" s="53">
        <v>10</v>
      </c>
      <c r="AD36" s="53">
        <v>8</v>
      </c>
      <c r="AE36" s="53">
        <v>10</v>
      </c>
      <c r="AF36" s="53">
        <v>1</v>
      </c>
      <c r="AG36" s="53">
        <v>18</v>
      </c>
      <c r="AH36" s="53">
        <v>2021</v>
      </c>
      <c r="AI36" s="53" t="s">
        <v>210</v>
      </c>
      <c r="AJ36" s="53" t="s">
        <v>211</v>
      </c>
    </row>
    <row r="37" spans="1:36" hidden="1" x14ac:dyDescent="0.35">
      <c r="A37" s="53">
        <v>53063011101</v>
      </c>
      <c r="B37" s="69">
        <v>1</v>
      </c>
      <c r="C37" s="70" t="s">
        <v>134</v>
      </c>
      <c r="D37" s="71">
        <v>1</v>
      </c>
      <c r="E37" s="53" t="s">
        <v>65</v>
      </c>
      <c r="F37" s="53">
        <v>3002</v>
      </c>
      <c r="G37" s="53">
        <v>23880</v>
      </c>
      <c r="H37" s="53" t="s">
        <v>138</v>
      </c>
      <c r="I37" s="53">
        <v>27.9</v>
      </c>
      <c r="J37" s="53">
        <v>121.6</v>
      </c>
      <c r="K37" s="53">
        <v>78.599999999999994</v>
      </c>
      <c r="L37" s="53">
        <v>190.8</v>
      </c>
      <c r="M37" s="53">
        <v>205.3</v>
      </c>
      <c r="N37" s="53">
        <v>124.84</v>
      </c>
      <c r="O37" s="53">
        <v>1</v>
      </c>
      <c r="P37" s="53">
        <v>1.3</v>
      </c>
      <c r="Q37" s="53">
        <v>1.1000000000000001</v>
      </c>
      <c r="R37" s="53">
        <v>1.3</v>
      </c>
      <c r="S37" s="53">
        <v>1.26</v>
      </c>
      <c r="T37" s="53">
        <v>2986</v>
      </c>
      <c r="U37" s="53">
        <v>2988</v>
      </c>
      <c r="V37" s="53">
        <v>2991</v>
      </c>
      <c r="W37" s="53">
        <v>2804</v>
      </c>
      <c r="X37" s="53">
        <v>2804</v>
      </c>
      <c r="Y37" s="53">
        <v>1.6</v>
      </c>
      <c r="Z37" s="53" t="s">
        <v>139</v>
      </c>
      <c r="AA37" s="53">
        <v>2021</v>
      </c>
      <c r="AB37" s="53">
        <v>10</v>
      </c>
      <c r="AC37" s="53">
        <v>10</v>
      </c>
      <c r="AD37" s="53">
        <v>10</v>
      </c>
      <c r="AE37" s="53">
        <v>9</v>
      </c>
      <c r="AF37" s="53">
        <v>1</v>
      </c>
      <c r="AG37" s="53">
        <v>19</v>
      </c>
      <c r="AH37" s="53">
        <v>2021</v>
      </c>
      <c r="AI37" s="53" t="s">
        <v>212</v>
      </c>
      <c r="AJ37" s="53" t="s">
        <v>213</v>
      </c>
    </row>
    <row r="38" spans="1:36" hidden="1" x14ac:dyDescent="0.35">
      <c r="A38" s="53">
        <v>53063003000</v>
      </c>
      <c r="B38" s="69">
        <v>1</v>
      </c>
      <c r="C38" s="70" t="s">
        <v>134</v>
      </c>
      <c r="D38" s="71">
        <v>1</v>
      </c>
      <c r="E38" s="53" t="s">
        <v>65</v>
      </c>
      <c r="F38" s="53">
        <v>1051</v>
      </c>
      <c r="G38" s="53">
        <v>33571</v>
      </c>
      <c r="H38" s="53" t="s">
        <v>166</v>
      </c>
      <c r="I38" s="53">
        <v>62.1</v>
      </c>
      <c r="J38" s="53">
        <v>127.6</v>
      </c>
      <c r="K38" s="53">
        <v>46.6</v>
      </c>
      <c r="L38" s="53">
        <v>107.1</v>
      </c>
      <c r="M38" s="53">
        <v>50.1</v>
      </c>
      <c r="N38" s="53">
        <v>78.7</v>
      </c>
      <c r="O38" s="53">
        <v>1.4</v>
      </c>
      <c r="P38" s="53">
        <v>1.3</v>
      </c>
      <c r="Q38" s="53">
        <v>1</v>
      </c>
      <c r="R38" s="53">
        <v>1</v>
      </c>
      <c r="S38" s="53">
        <v>1.1599999999999999</v>
      </c>
      <c r="T38" s="53">
        <v>1064</v>
      </c>
      <c r="U38" s="53">
        <v>1051</v>
      </c>
      <c r="V38" s="53">
        <v>1059</v>
      </c>
      <c r="W38" s="53">
        <v>960</v>
      </c>
      <c r="X38" s="53">
        <v>960</v>
      </c>
      <c r="Y38" s="53">
        <v>1.1000000000000001</v>
      </c>
      <c r="Z38" s="53" t="s">
        <v>139</v>
      </c>
      <c r="AA38" s="53">
        <v>2021</v>
      </c>
      <c r="AB38" s="53">
        <v>10</v>
      </c>
      <c r="AC38" s="53">
        <v>10</v>
      </c>
      <c r="AD38" s="53">
        <v>7</v>
      </c>
      <c r="AE38" s="53">
        <v>10</v>
      </c>
      <c r="AF38" s="53">
        <v>1</v>
      </c>
      <c r="AG38" s="53">
        <v>17</v>
      </c>
      <c r="AH38" s="53">
        <v>2021</v>
      </c>
      <c r="AI38" s="53" t="s">
        <v>214</v>
      </c>
      <c r="AJ38" s="53" t="s">
        <v>215</v>
      </c>
    </row>
    <row r="39" spans="1:36" hidden="1" x14ac:dyDescent="0.35">
      <c r="A39" s="53">
        <v>53063012901</v>
      </c>
      <c r="B39" s="69">
        <v>1</v>
      </c>
      <c r="C39" s="70" t="s">
        <v>134</v>
      </c>
      <c r="D39" s="71">
        <v>0</v>
      </c>
      <c r="E39" s="53" t="s">
        <v>65</v>
      </c>
      <c r="F39" s="53">
        <v>252</v>
      </c>
      <c r="G39" s="53">
        <v>54375</v>
      </c>
      <c r="H39" s="53" t="s">
        <v>166</v>
      </c>
      <c r="I39" s="53">
        <v>373</v>
      </c>
      <c r="J39" s="53">
        <v>112.3</v>
      </c>
      <c r="K39" s="53">
        <v>166.7</v>
      </c>
      <c r="L39" s="53">
        <v>115.7</v>
      </c>
      <c r="M39" s="53">
        <v>346.8</v>
      </c>
      <c r="N39" s="53">
        <v>222.9</v>
      </c>
      <c r="O39" s="53">
        <v>1.4</v>
      </c>
      <c r="P39" s="53">
        <v>1.1000000000000001</v>
      </c>
      <c r="Q39" s="53">
        <v>1.1000000000000001</v>
      </c>
      <c r="R39" s="53">
        <v>1.2</v>
      </c>
      <c r="S39" s="53">
        <v>1.18</v>
      </c>
      <c r="T39" s="53">
        <v>246</v>
      </c>
      <c r="U39" s="53">
        <v>247</v>
      </c>
      <c r="V39" s="53">
        <v>250</v>
      </c>
      <c r="W39" s="53">
        <v>250</v>
      </c>
      <c r="X39" s="53">
        <v>250</v>
      </c>
      <c r="Y39" s="53">
        <v>1.1000000000000001</v>
      </c>
      <c r="Z39" s="53" t="s">
        <v>139</v>
      </c>
      <c r="AA39" s="53">
        <v>2021</v>
      </c>
      <c r="AB39" s="53">
        <v>9</v>
      </c>
      <c r="AC39" s="53">
        <v>9</v>
      </c>
      <c r="AD39" s="53">
        <v>8</v>
      </c>
      <c r="AE39" s="53">
        <v>7</v>
      </c>
      <c r="AF39" s="53">
        <v>1</v>
      </c>
      <c r="AG39" s="53">
        <v>15</v>
      </c>
      <c r="AH39" s="53">
        <v>2021</v>
      </c>
      <c r="AI39" s="53" t="s">
        <v>216</v>
      </c>
      <c r="AJ39" s="53" t="s">
        <v>217</v>
      </c>
    </row>
    <row r="40" spans="1:36" hidden="1" x14ac:dyDescent="0.35">
      <c r="A40" s="53">
        <v>53063014400</v>
      </c>
      <c r="B40" s="69">
        <v>1</v>
      </c>
      <c r="C40" s="70" t="s">
        <v>134</v>
      </c>
      <c r="D40" s="71">
        <v>1</v>
      </c>
      <c r="E40" s="53" t="s">
        <v>65</v>
      </c>
      <c r="F40" s="53">
        <v>2238</v>
      </c>
      <c r="G40" s="53">
        <v>49935</v>
      </c>
      <c r="H40" s="53" t="s">
        <v>166</v>
      </c>
      <c r="I40" s="53">
        <v>324.10000000000002</v>
      </c>
      <c r="J40" s="53">
        <v>280.8</v>
      </c>
      <c r="K40" s="53">
        <v>103.6</v>
      </c>
      <c r="L40" s="53">
        <v>121.6</v>
      </c>
      <c r="M40" s="53">
        <v>76.099999999999994</v>
      </c>
      <c r="N40" s="53">
        <v>181.24</v>
      </c>
      <c r="O40" s="53">
        <v>1.2</v>
      </c>
      <c r="P40" s="53">
        <v>1.1000000000000001</v>
      </c>
      <c r="Q40" s="53">
        <v>1.2</v>
      </c>
      <c r="R40" s="53">
        <v>1</v>
      </c>
      <c r="S40" s="53">
        <v>1.18</v>
      </c>
      <c r="T40" s="53">
        <v>2189</v>
      </c>
      <c r="U40" s="53">
        <v>2195</v>
      </c>
      <c r="V40" s="53">
        <v>2181</v>
      </c>
      <c r="W40" s="53">
        <v>2172</v>
      </c>
      <c r="X40" s="53">
        <v>2172</v>
      </c>
      <c r="Y40" s="53">
        <v>1.4</v>
      </c>
      <c r="Z40" s="53" t="s">
        <v>139</v>
      </c>
      <c r="AA40" s="53">
        <v>2021</v>
      </c>
      <c r="AB40" s="53">
        <v>9</v>
      </c>
      <c r="AC40" s="53">
        <v>9</v>
      </c>
      <c r="AD40" s="53">
        <v>10</v>
      </c>
      <c r="AE40" s="53">
        <v>8</v>
      </c>
      <c r="AF40" s="53">
        <v>1</v>
      </c>
      <c r="AG40" s="53">
        <v>18</v>
      </c>
      <c r="AH40" s="53">
        <v>2021</v>
      </c>
      <c r="AI40" s="53" t="s">
        <v>218</v>
      </c>
      <c r="AJ40" s="53" t="s">
        <v>219</v>
      </c>
    </row>
    <row r="41" spans="1:36" hidden="1" x14ac:dyDescent="0.35">
      <c r="A41" s="53">
        <v>53001950400</v>
      </c>
      <c r="B41" s="69">
        <v>1</v>
      </c>
      <c r="C41" s="70" t="s">
        <v>139</v>
      </c>
      <c r="D41" s="71">
        <v>1</v>
      </c>
      <c r="E41" s="53" t="s">
        <v>61</v>
      </c>
      <c r="F41" s="53">
        <v>1151</v>
      </c>
      <c r="G41" s="53">
        <v>47036</v>
      </c>
      <c r="H41" s="53" t="s">
        <v>152</v>
      </c>
      <c r="I41" s="53">
        <v>44.7</v>
      </c>
      <c r="J41" s="53">
        <v>475.6</v>
      </c>
      <c r="K41" s="53">
        <v>133.69999999999999</v>
      </c>
      <c r="L41" s="53">
        <v>56.9</v>
      </c>
      <c r="M41" s="53">
        <v>395.7</v>
      </c>
      <c r="N41" s="53">
        <v>221.32</v>
      </c>
      <c r="O41" s="53">
        <v>1</v>
      </c>
      <c r="P41" s="53">
        <v>1.2</v>
      </c>
      <c r="Q41" s="53">
        <v>1.4</v>
      </c>
      <c r="R41" s="53">
        <v>1.9</v>
      </c>
      <c r="S41" s="53">
        <v>1.34</v>
      </c>
      <c r="T41" s="53">
        <v>1066</v>
      </c>
      <c r="U41" s="53">
        <v>1065</v>
      </c>
      <c r="V41" s="53">
        <v>1080</v>
      </c>
      <c r="W41" s="53">
        <v>1072</v>
      </c>
      <c r="X41" s="53">
        <v>1072</v>
      </c>
      <c r="Y41" s="53">
        <v>1.2</v>
      </c>
      <c r="Z41" s="53" t="s">
        <v>139</v>
      </c>
      <c r="AA41" s="53">
        <v>2021</v>
      </c>
      <c r="AB41" s="53">
        <v>7</v>
      </c>
      <c r="AC41" s="53">
        <v>7</v>
      </c>
      <c r="AD41" s="53">
        <v>9</v>
      </c>
      <c r="AE41" s="53">
        <v>10</v>
      </c>
      <c r="AF41" s="53">
        <v>1</v>
      </c>
      <c r="AG41" s="53">
        <v>19</v>
      </c>
      <c r="AH41" s="53">
        <v>2021</v>
      </c>
      <c r="AI41" s="53" t="s">
        <v>220</v>
      </c>
      <c r="AJ41" s="53" t="s">
        <v>221</v>
      </c>
    </row>
    <row r="42" spans="1:36" hidden="1" x14ac:dyDescent="0.35">
      <c r="A42" s="53">
        <v>53063012000</v>
      </c>
      <c r="B42" s="69">
        <v>1</v>
      </c>
      <c r="C42" s="70" t="s">
        <v>134</v>
      </c>
      <c r="D42" s="71">
        <v>0</v>
      </c>
      <c r="E42" s="53" t="s">
        <v>65</v>
      </c>
      <c r="F42" s="53">
        <v>4</v>
      </c>
      <c r="G42" s="53">
        <v>45665</v>
      </c>
      <c r="H42" s="53" t="s">
        <v>166</v>
      </c>
      <c r="I42" s="53">
        <v>0</v>
      </c>
      <c r="J42" s="53">
        <v>40</v>
      </c>
      <c r="K42" s="53">
        <v>40</v>
      </c>
      <c r="L42" s="53">
        <v>9</v>
      </c>
      <c r="M42" s="53">
        <v>9</v>
      </c>
      <c r="N42" s="53">
        <v>19.600000000000001</v>
      </c>
      <c r="O42" s="53">
        <v>0</v>
      </c>
      <c r="P42" s="53">
        <v>1</v>
      </c>
      <c r="Q42" s="53">
        <v>1</v>
      </c>
      <c r="R42" s="53">
        <v>1</v>
      </c>
      <c r="S42" s="53">
        <v>0.8</v>
      </c>
      <c r="T42" s="53">
        <v>7</v>
      </c>
      <c r="U42" s="53">
        <v>6</v>
      </c>
      <c r="V42" s="53">
        <v>4</v>
      </c>
      <c r="W42" s="53">
        <v>4</v>
      </c>
      <c r="X42" s="53">
        <v>4</v>
      </c>
      <c r="Y42" s="53">
        <v>1</v>
      </c>
      <c r="Z42" s="53" t="s">
        <v>139</v>
      </c>
      <c r="AA42" s="53">
        <v>2021</v>
      </c>
      <c r="AB42" s="53">
        <v>9</v>
      </c>
      <c r="AC42" s="53">
        <v>9</v>
      </c>
      <c r="AD42" s="53">
        <v>7</v>
      </c>
      <c r="AE42" s="53">
        <v>8</v>
      </c>
      <c r="AF42" s="53">
        <v>1</v>
      </c>
      <c r="AG42" s="53">
        <v>15</v>
      </c>
      <c r="AH42" s="53">
        <v>2021</v>
      </c>
      <c r="AI42" s="53" t="s">
        <v>222</v>
      </c>
      <c r="AJ42" s="53" t="s">
        <v>223</v>
      </c>
    </row>
    <row r="43" spans="1:36" hidden="1" x14ac:dyDescent="0.35">
      <c r="A43" s="53">
        <v>53063003500</v>
      </c>
      <c r="B43" s="69">
        <v>1</v>
      </c>
      <c r="C43" s="70" t="s">
        <v>134</v>
      </c>
      <c r="D43" s="71">
        <v>1</v>
      </c>
      <c r="E43" s="53" t="s">
        <v>65</v>
      </c>
      <c r="F43" s="53">
        <v>1991</v>
      </c>
      <c r="G43" s="53">
        <v>15651</v>
      </c>
      <c r="H43" s="53" t="s">
        <v>138</v>
      </c>
      <c r="I43" s="53">
        <v>105</v>
      </c>
      <c r="J43" s="53">
        <v>413.9</v>
      </c>
      <c r="K43" s="53">
        <v>23</v>
      </c>
      <c r="L43" s="53">
        <v>123</v>
      </c>
      <c r="M43" s="53">
        <v>148.9</v>
      </c>
      <c r="N43" s="53">
        <v>162.76</v>
      </c>
      <c r="O43" s="53">
        <v>1</v>
      </c>
      <c r="P43" s="53">
        <v>1</v>
      </c>
      <c r="Q43" s="53">
        <v>1.1000000000000001</v>
      </c>
      <c r="R43" s="53">
        <v>3.2</v>
      </c>
      <c r="S43" s="53">
        <v>1.62</v>
      </c>
      <c r="T43" s="53">
        <v>1730</v>
      </c>
      <c r="U43" s="53">
        <v>1698</v>
      </c>
      <c r="V43" s="53">
        <v>1756</v>
      </c>
      <c r="W43" s="53">
        <v>1680</v>
      </c>
      <c r="X43" s="53">
        <v>1680</v>
      </c>
      <c r="Y43" s="53">
        <v>1.8</v>
      </c>
      <c r="Z43" s="53" t="s">
        <v>139</v>
      </c>
      <c r="AA43" s="53">
        <v>2021</v>
      </c>
      <c r="AB43" s="53">
        <v>10</v>
      </c>
      <c r="AC43" s="53">
        <v>10</v>
      </c>
      <c r="AD43" s="53">
        <v>10</v>
      </c>
      <c r="AE43" s="53">
        <v>6</v>
      </c>
      <c r="AF43" s="53">
        <v>1</v>
      </c>
      <c r="AG43" s="53">
        <v>16</v>
      </c>
      <c r="AH43" s="53">
        <v>2021</v>
      </c>
      <c r="AI43" s="53" t="s">
        <v>224</v>
      </c>
      <c r="AJ43" s="53" t="s">
        <v>225</v>
      </c>
    </row>
    <row r="44" spans="1:36" hidden="1" x14ac:dyDescent="0.35">
      <c r="A44" s="53">
        <v>53063010402</v>
      </c>
      <c r="B44" s="69">
        <v>1</v>
      </c>
      <c r="C44" s="70" t="s">
        <v>134</v>
      </c>
      <c r="D44" s="71">
        <v>0</v>
      </c>
      <c r="E44" s="53" t="s">
        <v>65</v>
      </c>
      <c r="F44" s="53">
        <v>973</v>
      </c>
      <c r="G44" s="53">
        <v>72955</v>
      </c>
      <c r="H44" s="53" t="s">
        <v>152</v>
      </c>
      <c r="I44" s="53">
        <v>321.10000000000002</v>
      </c>
      <c r="J44" s="53">
        <v>194.3</v>
      </c>
      <c r="K44" s="53">
        <v>391.4</v>
      </c>
      <c r="L44" s="53">
        <v>313.89999999999998</v>
      </c>
      <c r="M44" s="53">
        <v>172.5</v>
      </c>
      <c r="N44" s="53">
        <v>278.64</v>
      </c>
      <c r="O44" s="53">
        <v>2.2999999999999998</v>
      </c>
      <c r="P44" s="53">
        <v>2.5</v>
      </c>
      <c r="Q44" s="53">
        <v>1.6</v>
      </c>
      <c r="R44" s="53">
        <v>2.2000000000000002</v>
      </c>
      <c r="S44" s="53">
        <v>2.100000000000001</v>
      </c>
      <c r="T44" s="53">
        <v>937</v>
      </c>
      <c r="U44" s="53">
        <v>938</v>
      </c>
      <c r="V44" s="53">
        <v>952</v>
      </c>
      <c r="W44" s="53">
        <v>947</v>
      </c>
      <c r="X44" s="53">
        <v>947</v>
      </c>
      <c r="Y44" s="53">
        <v>1.9</v>
      </c>
      <c r="Z44" s="53" t="s">
        <v>134</v>
      </c>
      <c r="AA44" s="53">
        <v>2021</v>
      </c>
      <c r="AB44" s="53">
        <v>6</v>
      </c>
      <c r="AC44" s="53">
        <v>6</v>
      </c>
      <c r="AD44" s="53">
        <v>8</v>
      </c>
      <c r="AE44" s="53">
        <v>5</v>
      </c>
      <c r="AF44" s="53">
        <v>1</v>
      </c>
      <c r="AG44" s="53">
        <v>13</v>
      </c>
      <c r="AH44" s="53">
        <v>2021</v>
      </c>
      <c r="AI44" s="53" t="s">
        <v>226</v>
      </c>
      <c r="AJ44" s="53" t="s">
        <v>227</v>
      </c>
    </row>
    <row r="45" spans="1:36" hidden="1" x14ac:dyDescent="0.35">
      <c r="A45" s="53">
        <v>53063011201</v>
      </c>
      <c r="B45" s="69">
        <v>1</v>
      </c>
      <c r="C45" s="70" t="s">
        <v>134</v>
      </c>
      <c r="D45" s="71">
        <v>1</v>
      </c>
      <c r="E45" s="53" t="s">
        <v>65</v>
      </c>
      <c r="F45" s="53">
        <v>4524</v>
      </c>
      <c r="G45" s="53">
        <v>38203</v>
      </c>
      <c r="H45" s="53" t="s">
        <v>161</v>
      </c>
      <c r="I45" s="53">
        <v>202.8</v>
      </c>
      <c r="J45" s="53">
        <v>97.4</v>
      </c>
      <c r="K45" s="53">
        <v>171.1</v>
      </c>
      <c r="L45" s="53">
        <v>120.4</v>
      </c>
      <c r="M45" s="53">
        <v>158.4</v>
      </c>
      <c r="N45" s="53">
        <v>150.02000000000001</v>
      </c>
      <c r="O45" s="53">
        <v>1</v>
      </c>
      <c r="P45" s="53">
        <v>1.2</v>
      </c>
      <c r="Q45" s="53">
        <v>1.6</v>
      </c>
      <c r="R45" s="53">
        <v>1.1000000000000001</v>
      </c>
      <c r="S45" s="53">
        <v>1.18</v>
      </c>
      <c r="T45" s="53">
        <v>4435</v>
      </c>
      <c r="U45" s="53">
        <v>4422</v>
      </c>
      <c r="V45" s="53">
        <v>4451</v>
      </c>
      <c r="W45" s="53">
        <v>4417</v>
      </c>
      <c r="X45" s="53">
        <v>4417</v>
      </c>
      <c r="Y45" s="53">
        <v>1</v>
      </c>
      <c r="Z45" s="53" t="s">
        <v>139</v>
      </c>
      <c r="AA45" s="53">
        <v>2021</v>
      </c>
      <c r="AB45" s="53">
        <v>9</v>
      </c>
      <c r="AC45" s="53">
        <v>9</v>
      </c>
      <c r="AD45" s="53">
        <v>9</v>
      </c>
      <c r="AE45" s="53">
        <v>8</v>
      </c>
      <c r="AF45" s="53">
        <v>1</v>
      </c>
      <c r="AG45" s="53">
        <v>17</v>
      </c>
      <c r="AH45" s="53">
        <v>2021</v>
      </c>
      <c r="AI45" s="53" t="s">
        <v>228</v>
      </c>
      <c r="AJ45" s="53" t="s">
        <v>229</v>
      </c>
    </row>
    <row r="46" spans="1:36" hidden="1" x14ac:dyDescent="0.35">
      <c r="A46" s="53">
        <v>53063002900</v>
      </c>
      <c r="B46" s="69">
        <v>1</v>
      </c>
      <c r="C46" s="70" t="s">
        <v>134</v>
      </c>
      <c r="D46" s="71">
        <v>1</v>
      </c>
      <c r="E46" s="53" t="s">
        <v>65</v>
      </c>
      <c r="F46" s="53">
        <v>1311</v>
      </c>
      <c r="G46" s="53">
        <v>55694</v>
      </c>
      <c r="H46" s="53" t="s">
        <v>166</v>
      </c>
      <c r="I46" s="53">
        <v>119</v>
      </c>
      <c r="J46" s="53">
        <v>23.4</v>
      </c>
      <c r="K46" s="53">
        <v>56.8</v>
      </c>
      <c r="L46" s="53">
        <v>131.1</v>
      </c>
      <c r="M46" s="53">
        <v>263.60000000000002</v>
      </c>
      <c r="N46" s="53">
        <v>118.78</v>
      </c>
      <c r="O46" s="53">
        <v>1.8</v>
      </c>
      <c r="P46" s="53">
        <v>1.1000000000000001</v>
      </c>
      <c r="Q46" s="53">
        <v>1.2</v>
      </c>
      <c r="R46" s="53">
        <v>1.6</v>
      </c>
      <c r="S46" s="53">
        <v>1.36</v>
      </c>
      <c r="T46" s="53">
        <v>1303</v>
      </c>
      <c r="U46" s="53">
        <v>1304</v>
      </c>
      <c r="V46" s="53">
        <v>1309</v>
      </c>
      <c r="W46" s="53">
        <v>1044</v>
      </c>
      <c r="X46" s="53">
        <v>1044</v>
      </c>
      <c r="Y46" s="53">
        <v>1.1000000000000001</v>
      </c>
      <c r="Z46" s="53" t="s">
        <v>139</v>
      </c>
      <c r="AA46" s="53">
        <v>2021</v>
      </c>
      <c r="AB46" s="53">
        <v>9</v>
      </c>
      <c r="AC46" s="53">
        <v>9</v>
      </c>
      <c r="AD46" s="53">
        <v>9</v>
      </c>
      <c r="AE46" s="53">
        <v>5</v>
      </c>
      <c r="AF46" s="53">
        <v>1</v>
      </c>
      <c r="AG46" s="53">
        <v>14</v>
      </c>
      <c r="AH46" s="53">
        <v>2021</v>
      </c>
      <c r="AI46" s="53" t="s">
        <v>230</v>
      </c>
      <c r="AJ46" s="53" t="s">
        <v>231</v>
      </c>
    </row>
    <row r="47" spans="1:36" hidden="1" x14ac:dyDescent="0.35">
      <c r="A47" s="53">
        <v>53063014500</v>
      </c>
      <c r="B47" s="69">
        <v>1</v>
      </c>
      <c r="C47" s="70" t="s">
        <v>134</v>
      </c>
      <c r="D47" s="71">
        <v>1</v>
      </c>
      <c r="E47" s="53" t="s">
        <v>65</v>
      </c>
      <c r="F47" s="53">
        <v>2581</v>
      </c>
      <c r="G47" s="53">
        <v>25625</v>
      </c>
      <c r="H47" s="53" t="s">
        <v>161</v>
      </c>
      <c r="I47" s="53">
        <v>78.599999999999994</v>
      </c>
      <c r="J47" s="53">
        <v>180</v>
      </c>
      <c r="K47" s="53">
        <v>120.2</v>
      </c>
      <c r="L47" s="53">
        <v>121</v>
      </c>
      <c r="M47" s="53">
        <v>67.8</v>
      </c>
      <c r="N47" s="53">
        <v>113.52</v>
      </c>
      <c r="O47" s="53">
        <v>1.3</v>
      </c>
      <c r="P47" s="53">
        <v>1.2</v>
      </c>
      <c r="Q47" s="53">
        <v>1.5</v>
      </c>
      <c r="R47" s="53">
        <v>1.2</v>
      </c>
      <c r="S47" s="53">
        <v>1.28</v>
      </c>
      <c r="T47" s="53">
        <v>2533</v>
      </c>
      <c r="U47" s="53">
        <v>2550</v>
      </c>
      <c r="V47" s="53">
        <v>2555</v>
      </c>
      <c r="W47" s="53">
        <v>2462</v>
      </c>
      <c r="X47" s="53">
        <v>2462</v>
      </c>
      <c r="Y47" s="53">
        <v>1.2</v>
      </c>
      <c r="Z47" s="53" t="s">
        <v>139</v>
      </c>
      <c r="AA47" s="53">
        <v>2021</v>
      </c>
      <c r="AB47" s="53">
        <v>10</v>
      </c>
      <c r="AC47" s="53">
        <v>10</v>
      </c>
      <c r="AD47" s="53">
        <v>10</v>
      </c>
      <c r="AE47" s="53">
        <v>9</v>
      </c>
      <c r="AF47" s="53">
        <v>1</v>
      </c>
      <c r="AG47" s="53">
        <v>19</v>
      </c>
      <c r="AH47" s="53">
        <v>2021</v>
      </c>
      <c r="AI47" s="53" t="s">
        <v>232</v>
      </c>
      <c r="AJ47" s="53" t="s">
        <v>233</v>
      </c>
    </row>
    <row r="48" spans="1:36" hidden="1" x14ac:dyDescent="0.35">
      <c r="A48" s="53">
        <v>53063000400</v>
      </c>
      <c r="B48" s="69">
        <v>1</v>
      </c>
      <c r="C48" s="70" t="s">
        <v>134</v>
      </c>
      <c r="D48" s="71">
        <v>1</v>
      </c>
      <c r="E48" s="53" t="s">
        <v>65</v>
      </c>
      <c r="F48" s="53">
        <v>2226</v>
      </c>
      <c r="G48" s="53">
        <v>35526</v>
      </c>
      <c r="H48" s="53" t="s">
        <v>138</v>
      </c>
      <c r="I48" s="53">
        <v>281.60000000000002</v>
      </c>
      <c r="J48" s="53">
        <v>88.6</v>
      </c>
      <c r="K48" s="53">
        <v>78.8</v>
      </c>
      <c r="L48" s="53">
        <v>167.9</v>
      </c>
      <c r="M48" s="53">
        <v>161.5</v>
      </c>
      <c r="N48" s="53">
        <v>155.68</v>
      </c>
      <c r="O48" s="53">
        <v>1.5</v>
      </c>
      <c r="P48" s="53">
        <v>1.4</v>
      </c>
      <c r="Q48" s="53">
        <v>1.2</v>
      </c>
      <c r="R48" s="53">
        <v>1</v>
      </c>
      <c r="S48" s="53">
        <v>1.22</v>
      </c>
      <c r="T48" s="53">
        <v>2202</v>
      </c>
      <c r="U48" s="53">
        <v>2201</v>
      </c>
      <c r="V48" s="53">
        <v>2207</v>
      </c>
      <c r="W48" s="53">
        <v>2178</v>
      </c>
      <c r="X48" s="53">
        <v>2178</v>
      </c>
      <c r="Y48" s="53">
        <v>1</v>
      </c>
      <c r="Z48" s="53" t="s">
        <v>139</v>
      </c>
      <c r="AA48" s="53">
        <v>2021</v>
      </c>
      <c r="AB48" s="53">
        <v>10</v>
      </c>
      <c r="AC48" s="53">
        <v>10</v>
      </c>
      <c r="AD48" s="53">
        <v>8</v>
      </c>
      <c r="AE48" s="53">
        <v>9</v>
      </c>
      <c r="AF48" s="53">
        <v>1</v>
      </c>
      <c r="AG48" s="53">
        <v>17</v>
      </c>
      <c r="AH48" s="53">
        <v>2021</v>
      </c>
      <c r="AI48" s="53" t="s">
        <v>234</v>
      </c>
      <c r="AJ48" s="53" t="s">
        <v>235</v>
      </c>
    </row>
    <row r="49" spans="1:36" hidden="1" x14ac:dyDescent="0.35">
      <c r="A49" s="53">
        <v>53063002100</v>
      </c>
      <c r="B49" s="69">
        <v>1</v>
      </c>
      <c r="C49" s="70" t="s">
        <v>139</v>
      </c>
      <c r="D49" s="71">
        <v>1</v>
      </c>
      <c r="E49" s="53" t="s">
        <v>65</v>
      </c>
      <c r="F49" s="53">
        <v>1197</v>
      </c>
      <c r="G49" s="53">
        <v>46230</v>
      </c>
      <c r="H49" s="53" t="s">
        <v>138</v>
      </c>
      <c r="I49" s="53">
        <v>162.9</v>
      </c>
      <c r="J49" s="53">
        <v>202.3</v>
      </c>
      <c r="K49" s="53">
        <v>73.900000000000006</v>
      </c>
      <c r="L49" s="53">
        <v>338.1</v>
      </c>
      <c r="M49" s="53">
        <v>74</v>
      </c>
      <c r="N49" s="53">
        <v>170.24</v>
      </c>
      <c r="O49" s="53">
        <v>1.1000000000000001</v>
      </c>
      <c r="P49" s="53">
        <v>1</v>
      </c>
      <c r="Q49" s="53">
        <v>1.1000000000000001</v>
      </c>
      <c r="R49" s="53">
        <v>1</v>
      </c>
      <c r="S49" s="53">
        <v>1.26</v>
      </c>
      <c r="T49" s="53">
        <v>1204</v>
      </c>
      <c r="U49" s="53">
        <v>1202</v>
      </c>
      <c r="V49" s="53">
        <v>1202</v>
      </c>
      <c r="W49" s="53">
        <v>828</v>
      </c>
      <c r="X49" s="53">
        <v>828</v>
      </c>
      <c r="Y49" s="53">
        <v>2.1</v>
      </c>
      <c r="Z49" s="53" t="s">
        <v>139</v>
      </c>
      <c r="AA49" s="53">
        <v>2021</v>
      </c>
      <c r="AB49" s="53">
        <v>8</v>
      </c>
      <c r="AC49" s="53">
        <v>8</v>
      </c>
      <c r="AD49" s="53">
        <v>9</v>
      </c>
      <c r="AE49" s="53">
        <v>8</v>
      </c>
      <c r="AF49" s="53">
        <v>1</v>
      </c>
      <c r="AG49" s="53">
        <v>17</v>
      </c>
      <c r="AH49" s="53">
        <v>2021</v>
      </c>
      <c r="AI49" s="53" t="s">
        <v>236</v>
      </c>
      <c r="AJ49" s="53" t="s">
        <v>237</v>
      </c>
    </row>
    <row r="50" spans="1:36" x14ac:dyDescent="0.35">
      <c r="A50" s="53">
        <v>530250114402</v>
      </c>
      <c r="B50" s="69">
        <v>1</v>
      </c>
      <c r="C50" s="70" t="s">
        <v>139</v>
      </c>
      <c r="D50" s="71">
        <v>1</v>
      </c>
      <c r="E50" s="53" t="s">
        <v>238</v>
      </c>
      <c r="F50" s="53">
        <v>2</v>
      </c>
      <c r="G50" s="53">
        <v>53271</v>
      </c>
      <c r="H50" s="53" t="s">
        <v>135</v>
      </c>
      <c r="I50" s="53">
        <v>223</v>
      </c>
      <c r="J50" s="53">
        <v>257.39999999999998</v>
      </c>
      <c r="K50" s="53">
        <v>395</v>
      </c>
      <c r="L50" s="53">
        <v>744</v>
      </c>
      <c r="N50" s="53">
        <v>323.88</v>
      </c>
      <c r="O50" s="53">
        <v>3</v>
      </c>
      <c r="P50" s="53">
        <v>2.2999999999999998</v>
      </c>
      <c r="Q50" s="53">
        <v>2</v>
      </c>
      <c r="R50" s="53">
        <v>1</v>
      </c>
      <c r="S50" s="53">
        <v>1.66</v>
      </c>
      <c r="T50" s="53">
        <v>3</v>
      </c>
      <c r="U50" s="53">
        <v>3</v>
      </c>
      <c r="V50" s="53">
        <v>3</v>
      </c>
      <c r="W50" s="53">
        <v>3</v>
      </c>
      <c r="Z50" s="53" t="s">
        <v>139</v>
      </c>
      <c r="AA50" s="53">
        <v>2021</v>
      </c>
      <c r="AB50" s="53">
        <v>5</v>
      </c>
      <c r="AC50" s="53">
        <v>5</v>
      </c>
      <c r="AD50" s="53">
        <v>2</v>
      </c>
      <c r="AE50" s="53">
        <v>10</v>
      </c>
      <c r="AF50" s="53">
        <v>1</v>
      </c>
      <c r="AG50" s="53">
        <v>12</v>
      </c>
      <c r="AH50" s="53">
        <v>2021</v>
      </c>
      <c r="AI50" s="53" t="s">
        <v>239</v>
      </c>
      <c r="AJ50" s="53" t="s">
        <v>240</v>
      </c>
    </row>
    <row r="51" spans="1:36" x14ac:dyDescent="0.35">
      <c r="A51" s="53">
        <v>53063010301</v>
      </c>
      <c r="B51" s="69">
        <v>0</v>
      </c>
      <c r="C51" s="70" t="s">
        <v>139</v>
      </c>
      <c r="D51" s="71">
        <v>0</v>
      </c>
      <c r="E51" s="53" t="s">
        <v>65</v>
      </c>
      <c r="F51" s="53">
        <v>2391</v>
      </c>
      <c r="G51" s="53">
        <v>51241</v>
      </c>
      <c r="H51" s="53" t="s">
        <v>135</v>
      </c>
      <c r="I51" s="53">
        <v>102.1</v>
      </c>
      <c r="J51" s="53">
        <v>90.6</v>
      </c>
      <c r="K51" s="53">
        <v>111.3</v>
      </c>
      <c r="L51" s="53">
        <v>121.7</v>
      </c>
      <c r="M51" s="53">
        <v>116.4</v>
      </c>
      <c r="N51" s="53">
        <v>108.42</v>
      </c>
      <c r="O51" s="53">
        <v>2.8</v>
      </c>
      <c r="P51" s="53">
        <v>1.4</v>
      </c>
      <c r="Q51" s="53">
        <v>1.1000000000000001</v>
      </c>
      <c r="R51" s="53">
        <v>1</v>
      </c>
      <c r="S51" s="53">
        <v>1.48</v>
      </c>
      <c r="T51" s="53">
        <v>2171</v>
      </c>
      <c r="U51" s="53">
        <v>2193</v>
      </c>
      <c r="V51" s="53">
        <v>2186</v>
      </c>
      <c r="W51" s="53">
        <v>2264</v>
      </c>
      <c r="X51" s="53">
        <v>2264</v>
      </c>
      <c r="Y51" s="53">
        <v>1.1000000000000001</v>
      </c>
      <c r="Z51" s="53" t="s">
        <v>139</v>
      </c>
      <c r="AA51" s="53">
        <v>2021</v>
      </c>
      <c r="AB51" s="53">
        <v>4</v>
      </c>
      <c r="AC51" s="53">
        <v>4</v>
      </c>
      <c r="AD51" s="53">
        <v>5</v>
      </c>
      <c r="AE51" s="53">
        <v>7</v>
      </c>
      <c r="AF51" s="53">
        <v>0</v>
      </c>
      <c r="AG51" s="53">
        <v>12</v>
      </c>
      <c r="AH51" s="53">
        <v>2021</v>
      </c>
      <c r="AI51" s="53" t="s">
        <v>241</v>
      </c>
      <c r="AJ51" s="53" t="s">
        <v>242</v>
      </c>
    </row>
    <row r="52" spans="1:36" hidden="1" x14ac:dyDescent="0.35">
      <c r="A52" s="53">
        <v>53063003900</v>
      </c>
      <c r="B52" s="69">
        <v>0</v>
      </c>
      <c r="C52" s="70" t="s">
        <v>139</v>
      </c>
      <c r="D52" s="71">
        <v>0</v>
      </c>
      <c r="E52" s="53" t="s">
        <v>65</v>
      </c>
      <c r="F52" s="53">
        <v>1313</v>
      </c>
      <c r="G52" s="53">
        <v>45855</v>
      </c>
      <c r="H52" s="53" t="s">
        <v>161</v>
      </c>
      <c r="I52" s="53">
        <v>159.69999999999999</v>
      </c>
      <c r="J52" s="53">
        <v>253.5</v>
      </c>
      <c r="K52" s="53">
        <v>137.9</v>
      </c>
      <c r="L52" s="53">
        <v>124</v>
      </c>
      <c r="M52" s="53">
        <v>303.2</v>
      </c>
      <c r="N52" s="53">
        <v>195.66</v>
      </c>
      <c r="O52" s="53">
        <v>1.2</v>
      </c>
      <c r="P52" s="53">
        <v>1</v>
      </c>
      <c r="Q52" s="53">
        <v>1</v>
      </c>
      <c r="R52" s="53">
        <v>1.1000000000000001</v>
      </c>
      <c r="S52" s="53">
        <v>1.08</v>
      </c>
      <c r="T52" s="53">
        <v>1246</v>
      </c>
      <c r="U52" s="53">
        <v>1258</v>
      </c>
      <c r="V52" s="53">
        <v>1284</v>
      </c>
      <c r="W52" s="53">
        <v>1174</v>
      </c>
      <c r="X52" s="53">
        <v>1174</v>
      </c>
      <c r="Y52" s="53">
        <v>1.1000000000000001</v>
      </c>
      <c r="Z52" s="53" t="s">
        <v>139</v>
      </c>
      <c r="AA52" s="53">
        <v>2021</v>
      </c>
      <c r="AB52" s="53">
        <v>5</v>
      </c>
      <c r="AC52" s="53">
        <v>5</v>
      </c>
      <c r="AD52" s="53">
        <v>5</v>
      </c>
      <c r="AE52" s="53">
        <v>3</v>
      </c>
      <c r="AF52" s="53">
        <v>0</v>
      </c>
      <c r="AG52" s="53">
        <v>8</v>
      </c>
      <c r="AH52" s="53">
        <v>2021</v>
      </c>
      <c r="AI52" s="53" t="s">
        <v>243</v>
      </c>
      <c r="AJ52" s="53" t="s">
        <v>244</v>
      </c>
    </row>
    <row r="53" spans="1:36" hidden="1" x14ac:dyDescent="0.35">
      <c r="A53" s="53">
        <v>53063010602</v>
      </c>
      <c r="B53" s="69">
        <v>0</v>
      </c>
      <c r="C53" s="70" t="s">
        <v>139</v>
      </c>
      <c r="D53" s="71">
        <v>0</v>
      </c>
      <c r="E53" s="53" t="s">
        <v>65</v>
      </c>
      <c r="F53" s="53">
        <v>3518</v>
      </c>
      <c r="G53" s="53">
        <v>77616</v>
      </c>
      <c r="H53" s="53" t="s">
        <v>152</v>
      </c>
      <c r="I53" s="53">
        <v>41.7</v>
      </c>
      <c r="J53" s="53">
        <v>341.3</v>
      </c>
      <c r="K53" s="53">
        <v>409.7</v>
      </c>
      <c r="L53" s="53">
        <v>312.5</v>
      </c>
      <c r="M53" s="53">
        <v>179.9</v>
      </c>
      <c r="N53" s="53">
        <v>257.02</v>
      </c>
      <c r="O53" s="53">
        <v>1</v>
      </c>
      <c r="P53" s="53">
        <v>1</v>
      </c>
      <c r="Q53" s="53">
        <v>2</v>
      </c>
      <c r="R53" s="53">
        <v>1.1000000000000001</v>
      </c>
      <c r="S53" s="53">
        <v>1.28</v>
      </c>
      <c r="T53" s="53">
        <v>3287</v>
      </c>
      <c r="U53" s="53">
        <v>3306</v>
      </c>
      <c r="V53" s="53">
        <v>3351</v>
      </c>
      <c r="W53" s="53">
        <v>3351</v>
      </c>
      <c r="X53" s="53">
        <v>3351</v>
      </c>
      <c r="Y53" s="53">
        <v>1.3</v>
      </c>
      <c r="Z53" s="53" t="s">
        <v>139</v>
      </c>
      <c r="AA53" s="53">
        <v>2021</v>
      </c>
      <c r="AB53" s="53">
        <v>2</v>
      </c>
      <c r="AC53" s="53">
        <v>2</v>
      </c>
      <c r="AD53" s="53">
        <v>3</v>
      </c>
      <c r="AE53" s="53">
        <v>1</v>
      </c>
      <c r="AF53" s="53">
        <v>0</v>
      </c>
      <c r="AG53" s="53">
        <v>4</v>
      </c>
      <c r="AH53" s="53">
        <v>2021</v>
      </c>
      <c r="AI53" s="53" t="s">
        <v>245</v>
      </c>
      <c r="AJ53" s="53" t="s">
        <v>246</v>
      </c>
    </row>
    <row r="54" spans="1:36" hidden="1" x14ac:dyDescent="0.35">
      <c r="A54" s="53">
        <v>53063000800</v>
      </c>
      <c r="B54" s="69">
        <v>0</v>
      </c>
      <c r="C54" s="70" t="s">
        <v>139</v>
      </c>
      <c r="D54" s="71">
        <v>0</v>
      </c>
      <c r="E54" s="53" t="s">
        <v>65</v>
      </c>
      <c r="F54" s="53">
        <v>2062</v>
      </c>
      <c r="G54" s="53">
        <v>70556</v>
      </c>
      <c r="H54" s="53" t="s">
        <v>152</v>
      </c>
      <c r="I54" s="53">
        <v>73.8</v>
      </c>
      <c r="J54" s="53">
        <v>160.6</v>
      </c>
      <c r="K54" s="53">
        <v>72.599999999999994</v>
      </c>
      <c r="L54" s="53">
        <v>158.30000000000001</v>
      </c>
      <c r="M54" s="53">
        <v>308.10000000000002</v>
      </c>
      <c r="N54" s="53">
        <v>154.68</v>
      </c>
      <c r="O54" s="53">
        <v>1.3</v>
      </c>
      <c r="P54" s="53">
        <v>1.1000000000000001</v>
      </c>
      <c r="Q54" s="53">
        <v>2.1</v>
      </c>
      <c r="R54" s="53">
        <v>1</v>
      </c>
      <c r="S54" s="53">
        <v>1.32</v>
      </c>
      <c r="T54" s="53">
        <v>2069</v>
      </c>
      <c r="U54" s="53">
        <v>2069</v>
      </c>
      <c r="V54" s="53">
        <v>2075</v>
      </c>
      <c r="W54" s="53">
        <v>1942</v>
      </c>
      <c r="X54" s="53">
        <v>1942</v>
      </c>
      <c r="Y54" s="53">
        <v>1.1000000000000001</v>
      </c>
      <c r="Z54" s="53" t="s">
        <v>139</v>
      </c>
      <c r="AA54" s="53">
        <v>2021</v>
      </c>
      <c r="AB54" s="53">
        <v>6</v>
      </c>
      <c r="AC54" s="53">
        <v>6</v>
      </c>
      <c r="AD54" s="53">
        <v>3</v>
      </c>
      <c r="AE54" s="53">
        <v>3</v>
      </c>
      <c r="AF54" s="53">
        <v>0</v>
      </c>
      <c r="AG54" s="53">
        <v>6</v>
      </c>
      <c r="AH54" s="53">
        <v>2021</v>
      </c>
      <c r="AI54" s="53" t="s">
        <v>247</v>
      </c>
      <c r="AJ54" s="53" t="s">
        <v>248</v>
      </c>
    </row>
    <row r="55" spans="1:36" hidden="1" x14ac:dyDescent="0.35">
      <c r="A55" s="53">
        <v>53063010700</v>
      </c>
      <c r="B55" s="69">
        <v>0</v>
      </c>
      <c r="C55" s="70" t="s">
        <v>139</v>
      </c>
      <c r="D55" s="71">
        <v>0</v>
      </c>
      <c r="E55" s="53" t="s">
        <v>65</v>
      </c>
      <c r="F55" s="53">
        <v>3221</v>
      </c>
      <c r="G55" s="53">
        <v>103531</v>
      </c>
      <c r="H55" s="53" t="s">
        <v>152</v>
      </c>
      <c r="I55" s="53">
        <v>70.599999999999994</v>
      </c>
      <c r="J55" s="53">
        <v>272.8</v>
      </c>
      <c r="K55" s="53">
        <v>152.80000000000001</v>
      </c>
      <c r="L55" s="53">
        <v>294.7</v>
      </c>
      <c r="M55" s="53">
        <v>372.8</v>
      </c>
      <c r="N55" s="53">
        <v>232.74</v>
      </c>
      <c r="O55" s="53">
        <v>1.2</v>
      </c>
      <c r="P55" s="53">
        <v>1.3</v>
      </c>
      <c r="Q55" s="53">
        <v>1.3</v>
      </c>
      <c r="R55" s="53">
        <v>1</v>
      </c>
      <c r="S55" s="53">
        <v>1.18</v>
      </c>
      <c r="T55" s="53">
        <v>2753</v>
      </c>
      <c r="U55" s="53">
        <v>2860</v>
      </c>
      <c r="V55" s="53">
        <v>2959</v>
      </c>
      <c r="W55" s="53">
        <v>2975</v>
      </c>
      <c r="X55" s="53">
        <v>2975</v>
      </c>
      <c r="Y55" s="53">
        <v>1.1000000000000001</v>
      </c>
      <c r="Z55" s="53" t="s">
        <v>139</v>
      </c>
      <c r="AA55" s="53">
        <v>2021</v>
      </c>
      <c r="AB55" s="53">
        <v>5</v>
      </c>
      <c r="AC55" s="53">
        <v>5</v>
      </c>
      <c r="AD55" s="53">
        <v>7</v>
      </c>
      <c r="AE55" s="53">
        <v>1</v>
      </c>
      <c r="AF55" s="53">
        <v>0</v>
      </c>
      <c r="AG55" s="53">
        <v>8</v>
      </c>
      <c r="AH55" s="53">
        <v>2021</v>
      </c>
      <c r="AI55" s="53" t="s">
        <v>249</v>
      </c>
      <c r="AJ55" s="53" t="s">
        <v>250</v>
      </c>
    </row>
    <row r="56" spans="1:36" hidden="1" x14ac:dyDescent="0.35">
      <c r="A56" s="53">
        <v>53063004500</v>
      </c>
      <c r="B56" s="69">
        <v>0</v>
      </c>
      <c r="C56" s="70" t="s">
        <v>139</v>
      </c>
      <c r="D56" s="71">
        <v>0</v>
      </c>
      <c r="E56" s="53" t="s">
        <v>65</v>
      </c>
      <c r="F56" s="53">
        <v>1731</v>
      </c>
      <c r="G56" s="53">
        <v>94219</v>
      </c>
      <c r="H56" s="53" t="s">
        <v>166</v>
      </c>
      <c r="I56" s="53">
        <v>34.299999999999997</v>
      </c>
      <c r="J56" s="53">
        <v>220.5</v>
      </c>
      <c r="K56" s="53">
        <v>111.5</v>
      </c>
      <c r="L56" s="53">
        <v>186.8</v>
      </c>
      <c r="M56" s="53">
        <v>199.5</v>
      </c>
      <c r="N56" s="53">
        <v>150.52000000000001</v>
      </c>
      <c r="O56" s="53">
        <v>1.2</v>
      </c>
      <c r="P56" s="53">
        <v>1.1000000000000001</v>
      </c>
      <c r="Q56" s="53">
        <v>1.2</v>
      </c>
      <c r="R56" s="53">
        <v>1</v>
      </c>
      <c r="S56" s="53">
        <v>1.1200000000000001</v>
      </c>
      <c r="T56" s="53">
        <v>1693</v>
      </c>
      <c r="U56" s="53">
        <v>1705</v>
      </c>
      <c r="V56" s="53">
        <v>1713</v>
      </c>
      <c r="W56" s="53">
        <v>861</v>
      </c>
      <c r="X56" s="53">
        <v>861</v>
      </c>
      <c r="Y56" s="53">
        <v>1.1000000000000001</v>
      </c>
      <c r="Z56" s="53" t="s">
        <v>139</v>
      </c>
      <c r="AA56" s="53">
        <v>2021</v>
      </c>
      <c r="AB56" s="53">
        <v>3</v>
      </c>
      <c r="AC56" s="53">
        <v>3</v>
      </c>
      <c r="AD56" s="53">
        <v>3</v>
      </c>
      <c r="AE56" s="53">
        <v>1</v>
      </c>
      <c r="AF56" s="53">
        <v>0</v>
      </c>
      <c r="AG56" s="53">
        <v>4</v>
      </c>
      <c r="AH56" s="53">
        <v>2021</v>
      </c>
      <c r="AI56" s="53" t="s">
        <v>251</v>
      </c>
      <c r="AJ56" s="53" t="s">
        <v>252</v>
      </c>
    </row>
    <row r="57" spans="1:36" hidden="1" x14ac:dyDescent="0.35">
      <c r="A57" s="53">
        <v>53063013202</v>
      </c>
      <c r="B57" s="69">
        <v>0</v>
      </c>
      <c r="C57" s="70" t="s">
        <v>139</v>
      </c>
      <c r="D57" s="71">
        <v>0</v>
      </c>
      <c r="E57" s="53" t="s">
        <v>65</v>
      </c>
      <c r="F57" s="53">
        <v>5800</v>
      </c>
      <c r="G57" s="53">
        <v>90750</v>
      </c>
      <c r="H57" s="53" t="s">
        <v>152</v>
      </c>
      <c r="I57" s="53">
        <v>247.5</v>
      </c>
      <c r="J57" s="53">
        <v>230.1</v>
      </c>
      <c r="K57" s="53">
        <v>223.5</v>
      </c>
      <c r="L57" s="53">
        <v>194.8</v>
      </c>
      <c r="M57" s="53">
        <v>261.2</v>
      </c>
      <c r="N57" s="53">
        <v>231.42</v>
      </c>
      <c r="O57" s="53">
        <v>1.4</v>
      </c>
      <c r="P57" s="53">
        <v>1.8</v>
      </c>
      <c r="Q57" s="53">
        <v>1.1000000000000001</v>
      </c>
      <c r="R57" s="53">
        <v>1.2</v>
      </c>
      <c r="S57" s="53">
        <v>1.4</v>
      </c>
      <c r="T57" s="53">
        <v>4942</v>
      </c>
      <c r="U57" s="53">
        <v>5120</v>
      </c>
      <c r="V57" s="53">
        <v>5296</v>
      </c>
      <c r="W57" s="53">
        <v>5278</v>
      </c>
      <c r="X57" s="53">
        <v>5278</v>
      </c>
      <c r="Y57" s="53">
        <v>1.5</v>
      </c>
      <c r="Z57" s="53" t="s">
        <v>139</v>
      </c>
      <c r="AA57" s="53">
        <v>2021</v>
      </c>
      <c r="AB57" s="53">
        <v>2</v>
      </c>
      <c r="AC57" s="53">
        <v>2</v>
      </c>
      <c r="AD57" s="53">
        <v>2</v>
      </c>
      <c r="AE57" s="53">
        <v>2</v>
      </c>
      <c r="AF57" s="53">
        <v>0</v>
      </c>
      <c r="AG57" s="53">
        <v>4</v>
      </c>
      <c r="AH57" s="53">
        <v>2021</v>
      </c>
      <c r="AI57" s="53" t="s">
        <v>253</v>
      </c>
      <c r="AJ57" s="53" t="s">
        <v>254</v>
      </c>
    </row>
    <row r="58" spans="1:36" hidden="1" x14ac:dyDescent="0.35">
      <c r="A58" s="53">
        <v>53063012701</v>
      </c>
      <c r="B58" s="69">
        <v>0</v>
      </c>
      <c r="C58" s="70" t="s">
        <v>139</v>
      </c>
      <c r="D58" s="71">
        <v>0</v>
      </c>
      <c r="E58" s="53" t="s">
        <v>65</v>
      </c>
      <c r="G58" s="53">
        <v>43941</v>
      </c>
      <c r="T58" s="53">
        <v>0</v>
      </c>
      <c r="U58" s="53">
        <v>0</v>
      </c>
      <c r="V58" s="53">
        <v>0</v>
      </c>
      <c r="W58" s="53">
        <v>0</v>
      </c>
      <c r="X58" s="53">
        <v>0</v>
      </c>
      <c r="Y58" s="53">
        <v>0</v>
      </c>
      <c r="Z58" s="53" t="s">
        <v>139</v>
      </c>
      <c r="AA58" s="53">
        <v>2021</v>
      </c>
      <c r="AB58" s="53">
        <v>7</v>
      </c>
      <c r="AC58" s="53">
        <v>7</v>
      </c>
      <c r="AD58" s="53">
        <v>7</v>
      </c>
      <c r="AE58" s="53">
        <v>4</v>
      </c>
      <c r="AF58" s="53">
        <v>0</v>
      </c>
      <c r="AG58" s="53">
        <v>11</v>
      </c>
      <c r="AH58" s="53">
        <v>2021</v>
      </c>
      <c r="AI58" s="53" t="s">
        <v>255</v>
      </c>
      <c r="AJ58" s="53" t="s">
        <v>256</v>
      </c>
    </row>
    <row r="59" spans="1:36" hidden="1" x14ac:dyDescent="0.35">
      <c r="A59" s="53">
        <v>53063004602</v>
      </c>
      <c r="B59" s="69">
        <v>0</v>
      </c>
      <c r="C59" s="70" t="s">
        <v>139</v>
      </c>
      <c r="D59" s="71">
        <v>0</v>
      </c>
      <c r="E59" s="53" t="s">
        <v>65</v>
      </c>
      <c r="F59" s="53">
        <v>1343</v>
      </c>
      <c r="G59" s="53">
        <v>66944</v>
      </c>
      <c r="H59" s="53" t="s">
        <v>166</v>
      </c>
      <c r="I59" s="53">
        <v>189.3</v>
      </c>
      <c r="J59" s="53">
        <v>119.3</v>
      </c>
      <c r="K59" s="53">
        <v>34.200000000000003</v>
      </c>
      <c r="L59" s="53">
        <v>157.5</v>
      </c>
      <c r="M59" s="53">
        <v>170</v>
      </c>
      <c r="N59" s="53">
        <v>134.06</v>
      </c>
      <c r="O59" s="53">
        <v>1.1000000000000001</v>
      </c>
      <c r="P59" s="53">
        <v>1.1000000000000001</v>
      </c>
      <c r="Q59" s="53">
        <v>1.2</v>
      </c>
      <c r="R59" s="53">
        <v>1.2</v>
      </c>
      <c r="S59" s="53">
        <v>1.24</v>
      </c>
      <c r="T59" s="53">
        <v>1288</v>
      </c>
      <c r="U59" s="53">
        <v>1289</v>
      </c>
      <c r="V59" s="53">
        <v>1304</v>
      </c>
      <c r="W59" s="53">
        <v>360</v>
      </c>
      <c r="X59" s="53">
        <v>360</v>
      </c>
      <c r="Y59" s="53">
        <v>1.6</v>
      </c>
      <c r="Z59" s="53" t="s">
        <v>139</v>
      </c>
      <c r="AA59" s="53">
        <v>2021</v>
      </c>
      <c r="AB59" s="53">
        <v>4</v>
      </c>
      <c r="AC59" s="53">
        <v>4</v>
      </c>
      <c r="AD59" s="53">
        <v>2</v>
      </c>
      <c r="AE59" s="53">
        <v>6</v>
      </c>
      <c r="AF59" s="53">
        <v>0</v>
      </c>
      <c r="AG59" s="53">
        <v>8</v>
      </c>
      <c r="AH59" s="53">
        <v>2021</v>
      </c>
      <c r="AI59" s="53" t="s">
        <v>257</v>
      </c>
      <c r="AJ59" s="53" t="s">
        <v>258</v>
      </c>
    </row>
    <row r="60" spans="1:36" hidden="1" x14ac:dyDescent="0.35">
      <c r="A60" s="53">
        <v>53063012702</v>
      </c>
      <c r="B60" s="69">
        <v>0</v>
      </c>
      <c r="C60" s="70" t="s">
        <v>139</v>
      </c>
      <c r="D60" s="71">
        <v>0</v>
      </c>
      <c r="E60" s="53" t="s">
        <v>65</v>
      </c>
      <c r="G60" s="53">
        <v>69575</v>
      </c>
      <c r="T60" s="53">
        <v>0</v>
      </c>
      <c r="U60" s="53">
        <v>0</v>
      </c>
      <c r="V60" s="53">
        <v>0</v>
      </c>
      <c r="W60" s="53">
        <v>0</v>
      </c>
      <c r="X60" s="53">
        <v>0</v>
      </c>
      <c r="Y60" s="53">
        <v>0</v>
      </c>
      <c r="Z60" s="53" t="s">
        <v>139</v>
      </c>
      <c r="AA60" s="53">
        <v>2021</v>
      </c>
      <c r="AB60" s="53">
        <v>4</v>
      </c>
      <c r="AC60" s="53">
        <v>4</v>
      </c>
      <c r="AD60" s="53">
        <v>5</v>
      </c>
      <c r="AE60" s="53">
        <v>2</v>
      </c>
      <c r="AF60" s="53">
        <v>0</v>
      </c>
      <c r="AG60" s="53">
        <v>7</v>
      </c>
      <c r="AH60" s="53">
        <v>2021</v>
      </c>
      <c r="AI60" s="53" t="s">
        <v>259</v>
      </c>
      <c r="AJ60" s="53" t="s">
        <v>260</v>
      </c>
    </row>
    <row r="61" spans="1:36" hidden="1" x14ac:dyDescent="0.35">
      <c r="A61" s="53">
        <v>53063010100</v>
      </c>
      <c r="B61" s="69">
        <v>0</v>
      </c>
      <c r="C61" s="70" t="s">
        <v>139</v>
      </c>
      <c r="D61" s="71">
        <v>0</v>
      </c>
      <c r="E61" s="53" t="s">
        <v>65</v>
      </c>
      <c r="F61" s="53">
        <v>367</v>
      </c>
      <c r="G61" s="53">
        <v>71265</v>
      </c>
      <c r="H61" s="53" t="s">
        <v>152</v>
      </c>
      <c r="I61" s="53">
        <v>118.3</v>
      </c>
      <c r="J61" s="53">
        <v>213.7</v>
      </c>
      <c r="K61" s="53">
        <v>174.4</v>
      </c>
      <c r="L61" s="53">
        <v>200.8</v>
      </c>
      <c r="M61" s="53">
        <v>318.10000000000002</v>
      </c>
      <c r="N61" s="53">
        <v>205.06</v>
      </c>
      <c r="O61" s="53">
        <v>1</v>
      </c>
      <c r="P61" s="53">
        <v>3.8</v>
      </c>
      <c r="Q61" s="53">
        <v>2</v>
      </c>
      <c r="R61" s="53">
        <v>1.4</v>
      </c>
      <c r="S61" s="53">
        <v>2</v>
      </c>
      <c r="T61" s="53">
        <v>358</v>
      </c>
      <c r="U61" s="53">
        <v>359</v>
      </c>
      <c r="V61" s="53">
        <v>365</v>
      </c>
      <c r="W61" s="53">
        <v>291</v>
      </c>
      <c r="X61" s="53">
        <v>291</v>
      </c>
      <c r="Y61" s="53">
        <v>1.8</v>
      </c>
      <c r="Z61" s="53" t="s">
        <v>139</v>
      </c>
      <c r="AA61" s="53">
        <v>2021</v>
      </c>
      <c r="AB61" s="53">
        <v>2</v>
      </c>
      <c r="AC61" s="53">
        <v>2</v>
      </c>
      <c r="AD61" s="53">
        <v>2</v>
      </c>
      <c r="AE61" s="53">
        <v>2</v>
      </c>
      <c r="AF61" s="53">
        <v>0</v>
      </c>
      <c r="AG61" s="53">
        <v>4</v>
      </c>
      <c r="AH61" s="53">
        <v>2021</v>
      </c>
      <c r="AI61" s="53" t="s">
        <v>261</v>
      </c>
      <c r="AJ61" s="53" t="s">
        <v>262</v>
      </c>
    </row>
    <row r="62" spans="1:36" hidden="1" x14ac:dyDescent="0.35">
      <c r="A62" s="53">
        <v>53075000300</v>
      </c>
      <c r="B62" s="69">
        <v>0</v>
      </c>
      <c r="C62" s="70" t="s">
        <v>139</v>
      </c>
      <c r="D62" s="71">
        <v>0</v>
      </c>
      <c r="E62" s="53" t="s">
        <v>67</v>
      </c>
      <c r="F62" s="53">
        <v>2686</v>
      </c>
      <c r="G62" s="53">
        <v>77563</v>
      </c>
      <c r="H62" s="53" t="s">
        <v>161</v>
      </c>
      <c r="I62" s="53">
        <v>198.5</v>
      </c>
      <c r="J62" s="53">
        <v>99.8</v>
      </c>
      <c r="K62" s="53">
        <v>194.5</v>
      </c>
      <c r="L62" s="53">
        <v>53.1</v>
      </c>
      <c r="M62" s="53">
        <v>52.7</v>
      </c>
      <c r="N62" s="53">
        <v>119.72</v>
      </c>
      <c r="O62" s="53">
        <v>1.3</v>
      </c>
      <c r="P62" s="53">
        <v>2.1</v>
      </c>
      <c r="Q62" s="53">
        <v>2.7</v>
      </c>
      <c r="R62" s="53">
        <v>1.3</v>
      </c>
      <c r="S62" s="53">
        <v>2.02</v>
      </c>
      <c r="T62" s="53">
        <v>2571</v>
      </c>
      <c r="U62" s="53">
        <v>2605</v>
      </c>
      <c r="V62" s="53">
        <v>2631</v>
      </c>
      <c r="W62" s="53">
        <v>2629</v>
      </c>
      <c r="X62" s="53">
        <v>2629</v>
      </c>
      <c r="Y62" s="53">
        <v>2.7</v>
      </c>
      <c r="Z62" s="53" t="s">
        <v>139</v>
      </c>
      <c r="AA62" s="53">
        <v>2021</v>
      </c>
      <c r="AB62" s="53">
        <v>1</v>
      </c>
      <c r="AC62" s="53">
        <v>1</v>
      </c>
      <c r="AD62" s="53">
        <v>1</v>
      </c>
      <c r="AE62" s="53">
        <v>3</v>
      </c>
      <c r="AF62" s="53">
        <v>0</v>
      </c>
      <c r="AG62" s="53">
        <v>4</v>
      </c>
      <c r="AH62" s="53">
        <v>2021</v>
      </c>
      <c r="AI62" s="53" t="s">
        <v>263</v>
      </c>
      <c r="AJ62" s="53" t="s">
        <v>264</v>
      </c>
    </row>
    <row r="63" spans="1:36" hidden="1" x14ac:dyDescent="0.35">
      <c r="A63" s="53">
        <v>53063001200</v>
      </c>
      <c r="B63" s="69">
        <v>0</v>
      </c>
      <c r="C63" s="70" t="s">
        <v>139</v>
      </c>
      <c r="D63" s="71">
        <v>0</v>
      </c>
      <c r="E63" s="53" t="s">
        <v>65</v>
      </c>
      <c r="F63" s="53">
        <v>1091</v>
      </c>
      <c r="G63" s="53">
        <v>43833</v>
      </c>
      <c r="H63" s="53" t="s">
        <v>138</v>
      </c>
      <c r="I63" s="53">
        <v>109.6</v>
      </c>
      <c r="J63" s="53">
        <v>42</v>
      </c>
      <c r="K63" s="53">
        <v>64.5</v>
      </c>
      <c r="L63" s="53">
        <v>103.1</v>
      </c>
      <c r="M63" s="53">
        <v>99.5</v>
      </c>
      <c r="N63" s="53">
        <v>83.74</v>
      </c>
      <c r="O63" s="53">
        <v>1.2</v>
      </c>
      <c r="P63" s="53">
        <v>1</v>
      </c>
      <c r="Q63" s="53">
        <v>1.2</v>
      </c>
      <c r="R63" s="53">
        <v>1.8</v>
      </c>
      <c r="S63" s="53">
        <v>1.36</v>
      </c>
      <c r="T63" s="53">
        <v>1080</v>
      </c>
      <c r="U63" s="53">
        <v>1079</v>
      </c>
      <c r="V63" s="53">
        <v>1079</v>
      </c>
      <c r="W63" s="53">
        <v>1078</v>
      </c>
      <c r="X63" s="53">
        <v>1078</v>
      </c>
      <c r="Y63" s="53">
        <v>1.6</v>
      </c>
      <c r="Z63" s="53" t="s">
        <v>139</v>
      </c>
      <c r="AA63" s="53">
        <v>2021</v>
      </c>
      <c r="AB63" s="53">
        <v>5</v>
      </c>
      <c r="AC63" s="53">
        <v>5</v>
      </c>
      <c r="AD63" s="53">
        <v>3</v>
      </c>
      <c r="AE63" s="53">
        <v>4</v>
      </c>
      <c r="AF63" s="53">
        <v>0</v>
      </c>
      <c r="AG63" s="53">
        <v>7</v>
      </c>
      <c r="AH63" s="53">
        <v>2021</v>
      </c>
      <c r="AI63" s="53" t="s">
        <v>265</v>
      </c>
      <c r="AJ63" s="53" t="s">
        <v>266</v>
      </c>
    </row>
    <row r="64" spans="1:36" hidden="1" x14ac:dyDescent="0.35">
      <c r="A64" s="53">
        <v>53063004800</v>
      </c>
      <c r="B64" s="69">
        <v>0</v>
      </c>
      <c r="C64" s="70" t="s">
        <v>139</v>
      </c>
      <c r="D64" s="71">
        <v>0</v>
      </c>
      <c r="E64" s="53" t="s">
        <v>65</v>
      </c>
      <c r="F64" s="53">
        <v>2104</v>
      </c>
      <c r="G64" s="53">
        <v>50577</v>
      </c>
      <c r="H64" s="53" t="s">
        <v>152</v>
      </c>
      <c r="I64" s="53">
        <v>205.4</v>
      </c>
      <c r="J64" s="53">
        <v>45.8</v>
      </c>
      <c r="K64" s="53">
        <v>45.8</v>
      </c>
      <c r="L64" s="53">
        <v>116.1</v>
      </c>
      <c r="M64" s="53">
        <v>205.3</v>
      </c>
      <c r="N64" s="53">
        <v>123.68</v>
      </c>
      <c r="O64" s="53">
        <v>1.3</v>
      </c>
      <c r="P64" s="53">
        <v>1.3</v>
      </c>
      <c r="Q64" s="53">
        <v>1.3</v>
      </c>
      <c r="R64" s="53">
        <v>1</v>
      </c>
      <c r="S64" s="53">
        <v>1.18</v>
      </c>
      <c r="T64" s="53">
        <v>2036</v>
      </c>
      <c r="U64" s="53">
        <v>2035</v>
      </c>
      <c r="V64" s="53">
        <v>2037</v>
      </c>
      <c r="W64" s="53">
        <v>358</v>
      </c>
      <c r="X64" s="53">
        <v>358</v>
      </c>
      <c r="Y64" s="53">
        <v>1</v>
      </c>
      <c r="Z64" s="53" t="s">
        <v>139</v>
      </c>
      <c r="AA64" s="53">
        <v>2021</v>
      </c>
      <c r="AB64" s="53">
        <v>2</v>
      </c>
      <c r="AC64" s="53">
        <v>2</v>
      </c>
      <c r="AD64" s="53">
        <v>3</v>
      </c>
      <c r="AE64" s="53">
        <v>3</v>
      </c>
      <c r="AF64" s="53">
        <v>0</v>
      </c>
      <c r="AG64" s="53">
        <v>6</v>
      </c>
      <c r="AH64" s="53">
        <v>2021</v>
      </c>
      <c r="AI64" s="53" t="s">
        <v>267</v>
      </c>
      <c r="AJ64" s="53" t="s">
        <v>268</v>
      </c>
    </row>
    <row r="65" spans="1:36" hidden="1" x14ac:dyDescent="0.35">
      <c r="A65" s="53">
        <v>53063010900</v>
      </c>
      <c r="B65" s="69">
        <v>0</v>
      </c>
      <c r="C65" s="70" t="s">
        <v>139</v>
      </c>
      <c r="D65" s="71">
        <v>0</v>
      </c>
      <c r="E65" s="53" t="s">
        <v>65</v>
      </c>
      <c r="F65" s="53">
        <v>1914</v>
      </c>
      <c r="G65" s="53">
        <v>58828</v>
      </c>
      <c r="H65" s="53" t="s">
        <v>152</v>
      </c>
      <c r="I65" s="53">
        <v>123</v>
      </c>
      <c r="J65" s="53">
        <v>213.3</v>
      </c>
      <c r="K65" s="53">
        <v>159.80000000000001</v>
      </c>
      <c r="L65" s="53">
        <v>174.1</v>
      </c>
      <c r="M65" s="53">
        <v>284.5</v>
      </c>
      <c r="N65" s="53">
        <v>190.94</v>
      </c>
      <c r="O65" s="53">
        <v>1.4</v>
      </c>
      <c r="P65" s="53">
        <v>1.7</v>
      </c>
      <c r="Q65" s="53">
        <v>2</v>
      </c>
      <c r="R65" s="53">
        <v>1.7</v>
      </c>
      <c r="S65" s="53">
        <v>1.84</v>
      </c>
      <c r="T65" s="53">
        <v>1882</v>
      </c>
      <c r="U65" s="53">
        <v>1887</v>
      </c>
      <c r="V65" s="53">
        <v>1896</v>
      </c>
      <c r="W65" s="53">
        <v>1863</v>
      </c>
      <c r="X65" s="53">
        <v>1863</v>
      </c>
      <c r="Y65" s="53">
        <v>2.4</v>
      </c>
      <c r="Z65" s="53" t="s">
        <v>139</v>
      </c>
      <c r="AA65" s="53">
        <v>2021</v>
      </c>
      <c r="AB65" s="53">
        <v>6</v>
      </c>
      <c r="AC65" s="53">
        <v>6</v>
      </c>
      <c r="AD65" s="53">
        <v>3</v>
      </c>
      <c r="AE65" s="53">
        <v>3</v>
      </c>
      <c r="AF65" s="53">
        <v>0</v>
      </c>
      <c r="AG65" s="53">
        <v>6</v>
      </c>
      <c r="AH65" s="53">
        <v>2021</v>
      </c>
      <c r="AI65" s="53" t="s">
        <v>269</v>
      </c>
      <c r="AJ65" s="53" t="s">
        <v>270</v>
      </c>
    </row>
    <row r="66" spans="1:36" hidden="1" x14ac:dyDescent="0.35">
      <c r="A66" s="53">
        <v>53063012401</v>
      </c>
      <c r="B66" s="69">
        <v>0</v>
      </c>
      <c r="C66" s="70" t="s">
        <v>139</v>
      </c>
      <c r="D66" s="71">
        <v>0</v>
      </c>
      <c r="E66" s="53" t="s">
        <v>65</v>
      </c>
      <c r="F66" s="53">
        <v>2023</v>
      </c>
      <c r="G66" s="53">
        <v>70385</v>
      </c>
      <c r="H66" s="53" t="s">
        <v>152</v>
      </c>
      <c r="I66" s="53">
        <v>71.8</v>
      </c>
      <c r="J66" s="53">
        <v>95.4</v>
      </c>
      <c r="K66" s="53">
        <v>116.9</v>
      </c>
      <c r="L66" s="53">
        <v>81</v>
      </c>
      <c r="M66" s="53">
        <v>437.5</v>
      </c>
      <c r="N66" s="53">
        <v>160.52000000000001</v>
      </c>
      <c r="O66" s="53">
        <v>1.8</v>
      </c>
      <c r="P66" s="53">
        <v>1.9</v>
      </c>
      <c r="Q66" s="53">
        <v>1.2</v>
      </c>
      <c r="R66" s="53">
        <v>1.6</v>
      </c>
      <c r="S66" s="53">
        <v>1.56</v>
      </c>
      <c r="T66" s="53">
        <v>1929</v>
      </c>
      <c r="U66" s="53">
        <v>1952</v>
      </c>
      <c r="V66" s="53">
        <v>1974</v>
      </c>
      <c r="W66" s="53">
        <v>1973</v>
      </c>
      <c r="X66" s="53">
        <v>1973</v>
      </c>
      <c r="Y66" s="53">
        <v>1.3</v>
      </c>
      <c r="Z66" s="53" t="s">
        <v>139</v>
      </c>
      <c r="AA66" s="53">
        <v>2021</v>
      </c>
      <c r="AB66" s="53">
        <v>2</v>
      </c>
      <c r="AC66" s="53">
        <v>2</v>
      </c>
      <c r="AD66" s="53">
        <v>1</v>
      </c>
      <c r="AE66" s="53">
        <v>2</v>
      </c>
      <c r="AF66" s="53">
        <v>0</v>
      </c>
      <c r="AG66" s="53">
        <v>3</v>
      </c>
      <c r="AH66" s="53">
        <v>2021</v>
      </c>
      <c r="AI66" s="53" t="s">
        <v>271</v>
      </c>
      <c r="AJ66" s="53" t="s">
        <v>272</v>
      </c>
    </row>
    <row r="67" spans="1:36" hidden="1" x14ac:dyDescent="0.35">
      <c r="A67" s="53">
        <v>53063004100</v>
      </c>
      <c r="B67" s="69">
        <v>0</v>
      </c>
      <c r="C67" s="70" t="s">
        <v>139</v>
      </c>
      <c r="D67" s="71">
        <v>0</v>
      </c>
      <c r="E67" s="53" t="s">
        <v>65</v>
      </c>
      <c r="F67" s="53">
        <v>1139</v>
      </c>
      <c r="G67" s="53">
        <v>53125</v>
      </c>
      <c r="H67" s="53" t="s">
        <v>138</v>
      </c>
      <c r="I67" s="53">
        <v>193.8</v>
      </c>
      <c r="J67" s="53">
        <v>96.1</v>
      </c>
      <c r="K67" s="53">
        <v>128.19999999999999</v>
      </c>
      <c r="L67" s="53">
        <v>43.7</v>
      </c>
      <c r="M67" s="53">
        <v>140.80000000000001</v>
      </c>
      <c r="N67" s="53">
        <v>120.52</v>
      </c>
      <c r="O67" s="53">
        <v>1.1000000000000001</v>
      </c>
      <c r="P67" s="53">
        <v>1.5</v>
      </c>
      <c r="Q67" s="53">
        <v>1.5</v>
      </c>
      <c r="R67" s="53">
        <v>1</v>
      </c>
      <c r="S67" s="53">
        <v>1.26</v>
      </c>
      <c r="T67" s="53">
        <v>1133</v>
      </c>
      <c r="U67" s="53">
        <v>1131</v>
      </c>
      <c r="V67" s="53">
        <v>1132</v>
      </c>
      <c r="W67" s="53">
        <v>991</v>
      </c>
      <c r="X67" s="53">
        <v>991</v>
      </c>
      <c r="Y67" s="53">
        <v>1.2</v>
      </c>
      <c r="Z67" s="53" t="s">
        <v>139</v>
      </c>
      <c r="AA67" s="53">
        <v>2021</v>
      </c>
      <c r="AB67" s="53">
        <v>3</v>
      </c>
      <c r="AC67" s="53">
        <v>3</v>
      </c>
      <c r="AD67" s="53">
        <v>2</v>
      </c>
      <c r="AE67" s="53">
        <v>3</v>
      </c>
      <c r="AF67" s="53">
        <v>0</v>
      </c>
      <c r="AG67" s="53">
        <v>5</v>
      </c>
      <c r="AH67" s="53">
        <v>2021</v>
      </c>
      <c r="AI67" s="53" t="s">
        <v>273</v>
      </c>
      <c r="AJ67" s="53" t="s">
        <v>274</v>
      </c>
    </row>
    <row r="68" spans="1:36" hidden="1" x14ac:dyDescent="0.35">
      <c r="A68" s="53">
        <v>53063003600</v>
      </c>
      <c r="B68" s="69">
        <v>0</v>
      </c>
      <c r="C68" s="70" t="s">
        <v>139</v>
      </c>
      <c r="D68" s="71">
        <v>0</v>
      </c>
      <c r="E68" s="53" t="s">
        <v>65</v>
      </c>
      <c r="F68" s="53">
        <v>3621</v>
      </c>
      <c r="G68" s="53">
        <v>32778</v>
      </c>
      <c r="H68" s="53" t="s">
        <v>138</v>
      </c>
      <c r="I68" s="53">
        <v>97.2</v>
      </c>
      <c r="J68" s="53">
        <v>49.1</v>
      </c>
      <c r="K68" s="53">
        <v>119.8</v>
      </c>
      <c r="L68" s="53">
        <v>202.9</v>
      </c>
      <c r="M68" s="53">
        <v>190.8</v>
      </c>
      <c r="N68" s="53">
        <v>131.96</v>
      </c>
      <c r="O68" s="53">
        <v>1.4</v>
      </c>
      <c r="P68" s="53">
        <v>1</v>
      </c>
      <c r="Q68" s="53">
        <v>1.2</v>
      </c>
      <c r="R68" s="53">
        <v>1.4</v>
      </c>
      <c r="S68" s="53">
        <v>1.2</v>
      </c>
      <c r="T68" s="53">
        <v>3274</v>
      </c>
      <c r="U68" s="53">
        <v>3486</v>
      </c>
      <c r="V68" s="53">
        <v>3607</v>
      </c>
      <c r="W68" s="53">
        <v>1286</v>
      </c>
      <c r="X68" s="53">
        <v>1286</v>
      </c>
      <c r="Y68" s="53">
        <v>1</v>
      </c>
      <c r="Z68" s="53" t="s">
        <v>139</v>
      </c>
      <c r="AA68" s="53">
        <v>2021</v>
      </c>
      <c r="AB68" s="53">
        <v>7</v>
      </c>
      <c r="AC68" s="53">
        <v>7</v>
      </c>
      <c r="AD68" s="53">
        <v>4</v>
      </c>
      <c r="AE68" s="53">
        <v>6</v>
      </c>
      <c r="AF68" s="53">
        <v>0</v>
      </c>
      <c r="AG68" s="53">
        <v>10</v>
      </c>
      <c r="AH68" s="53">
        <v>2021</v>
      </c>
      <c r="AI68" s="53" t="s">
        <v>275</v>
      </c>
      <c r="AJ68" s="53" t="s">
        <v>276</v>
      </c>
    </row>
    <row r="69" spans="1:36" hidden="1" x14ac:dyDescent="0.35">
      <c r="A69" s="53">
        <v>53075000400</v>
      </c>
      <c r="B69" s="69">
        <v>0</v>
      </c>
      <c r="C69" s="70" t="s">
        <v>139</v>
      </c>
      <c r="D69" s="71">
        <v>0</v>
      </c>
      <c r="E69" s="53" t="s">
        <v>67</v>
      </c>
      <c r="F69" s="53">
        <v>2330</v>
      </c>
      <c r="G69" s="53">
        <v>54071</v>
      </c>
      <c r="H69" s="53" t="s">
        <v>161</v>
      </c>
      <c r="I69" s="53">
        <v>318.89999999999998</v>
      </c>
      <c r="J69" s="53">
        <v>73.8</v>
      </c>
      <c r="K69" s="53">
        <v>182.5</v>
      </c>
      <c r="L69" s="53">
        <v>110</v>
      </c>
      <c r="M69" s="53">
        <v>64.099999999999994</v>
      </c>
      <c r="N69" s="53">
        <v>149.86000000000001</v>
      </c>
      <c r="O69" s="53">
        <v>1.2</v>
      </c>
      <c r="P69" s="53">
        <v>2.2999999999999998</v>
      </c>
      <c r="Q69" s="53">
        <v>1.1000000000000001</v>
      </c>
      <c r="R69" s="53">
        <v>1.1000000000000001</v>
      </c>
      <c r="S69" s="53">
        <v>1.54</v>
      </c>
      <c r="T69" s="53">
        <v>2266</v>
      </c>
      <c r="U69" s="53">
        <v>2265</v>
      </c>
      <c r="V69" s="53">
        <v>2269</v>
      </c>
      <c r="W69" s="53">
        <v>2260</v>
      </c>
      <c r="X69" s="53">
        <v>2260</v>
      </c>
      <c r="Y69" s="53">
        <v>2</v>
      </c>
      <c r="Z69" s="53" t="s">
        <v>139</v>
      </c>
      <c r="AA69" s="53">
        <v>2021</v>
      </c>
      <c r="AB69" s="53">
        <v>5</v>
      </c>
      <c r="AC69" s="53">
        <v>5</v>
      </c>
      <c r="AD69" s="53">
        <v>6</v>
      </c>
      <c r="AE69" s="53">
        <v>7</v>
      </c>
      <c r="AF69" s="53">
        <v>0</v>
      </c>
      <c r="AG69" s="53">
        <v>13</v>
      </c>
      <c r="AH69" s="53">
        <v>2021</v>
      </c>
      <c r="AI69" s="53" t="s">
        <v>277</v>
      </c>
      <c r="AJ69" s="53" t="s">
        <v>278</v>
      </c>
    </row>
    <row r="70" spans="1:36" x14ac:dyDescent="0.35">
      <c r="A70" s="53">
        <v>53075001000</v>
      </c>
      <c r="B70" s="69">
        <v>0</v>
      </c>
      <c r="C70" s="70" t="s">
        <v>139</v>
      </c>
      <c r="D70" s="71">
        <v>0</v>
      </c>
      <c r="E70" s="53" t="s">
        <v>67</v>
      </c>
      <c r="F70" s="53">
        <v>923</v>
      </c>
      <c r="G70" s="53">
        <v>60288</v>
      </c>
      <c r="H70" s="53" t="s">
        <v>135</v>
      </c>
      <c r="I70" s="53">
        <v>237.9</v>
      </c>
      <c r="J70" s="53">
        <v>211</v>
      </c>
      <c r="K70" s="53">
        <v>305.60000000000002</v>
      </c>
      <c r="L70" s="53">
        <v>215.3</v>
      </c>
      <c r="M70" s="53">
        <v>134.30000000000001</v>
      </c>
      <c r="N70" s="53">
        <v>220.82</v>
      </c>
      <c r="O70" s="53">
        <v>2.4</v>
      </c>
      <c r="P70" s="53">
        <v>1.4</v>
      </c>
      <c r="Q70" s="53">
        <v>1.8</v>
      </c>
      <c r="R70" s="53">
        <v>3.1</v>
      </c>
      <c r="S70" s="53">
        <v>2.52</v>
      </c>
      <c r="T70" s="53">
        <v>920</v>
      </c>
      <c r="U70" s="53">
        <v>921</v>
      </c>
      <c r="V70" s="53">
        <v>920</v>
      </c>
      <c r="W70" s="53">
        <v>918</v>
      </c>
      <c r="X70" s="53">
        <v>918</v>
      </c>
      <c r="Y70" s="53">
        <v>3.9</v>
      </c>
      <c r="Z70" s="53" t="s">
        <v>139</v>
      </c>
      <c r="AA70" s="53">
        <v>2021</v>
      </c>
      <c r="AB70" s="53">
        <v>4</v>
      </c>
      <c r="AC70" s="53">
        <v>4</v>
      </c>
      <c r="AD70" s="53">
        <v>6</v>
      </c>
      <c r="AE70" s="53">
        <v>1</v>
      </c>
      <c r="AF70" s="53">
        <v>0</v>
      </c>
      <c r="AG70" s="53">
        <v>7</v>
      </c>
      <c r="AH70" s="53">
        <v>2021</v>
      </c>
      <c r="AI70" s="53" t="s">
        <v>279</v>
      </c>
      <c r="AJ70" s="53" t="s">
        <v>280</v>
      </c>
    </row>
    <row r="71" spans="1:36" x14ac:dyDescent="0.35">
      <c r="A71" s="53">
        <v>53063010504</v>
      </c>
      <c r="B71" s="69">
        <v>0</v>
      </c>
      <c r="C71" s="70" t="s">
        <v>139</v>
      </c>
      <c r="D71" s="71">
        <v>0</v>
      </c>
      <c r="E71" s="53" t="s">
        <v>65</v>
      </c>
      <c r="F71" s="53">
        <v>587</v>
      </c>
      <c r="G71" s="53">
        <v>64909</v>
      </c>
      <c r="H71" s="53" t="s">
        <v>135</v>
      </c>
      <c r="I71" s="53">
        <v>170.7</v>
      </c>
      <c r="J71" s="53">
        <v>214.8</v>
      </c>
      <c r="K71" s="53">
        <v>109.4</v>
      </c>
      <c r="L71" s="53">
        <v>136.19999999999999</v>
      </c>
      <c r="M71" s="53">
        <v>185.6</v>
      </c>
      <c r="N71" s="53">
        <v>163.34</v>
      </c>
      <c r="O71" s="53">
        <v>1.6</v>
      </c>
      <c r="P71" s="53">
        <v>1.9</v>
      </c>
      <c r="Q71" s="53">
        <v>1</v>
      </c>
      <c r="R71" s="53">
        <v>1.1000000000000001</v>
      </c>
      <c r="S71" s="53">
        <v>1.34</v>
      </c>
      <c r="T71" s="53">
        <v>574</v>
      </c>
      <c r="U71" s="53">
        <v>573</v>
      </c>
      <c r="V71" s="53">
        <v>585</v>
      </c>
      <c r="W71" s="53">
        <v>456</v>
      </c>
      <c r="X71" s="53">
        <v>456</v>
      </c>
      <c r="Y71" s="53">
        <v>1.1000000000000001</v>
      </c>
      <c r="Z71" s="53" t="s">
        <v>139</v>
      </c>
      <c r="AA71" s="53">
        <v>2021</v>
      </c>
      <c r="AB71" s="53">
        <v>5</v>
      </c>
      <c r="AC71" s="53">
        <v>5</v>
      </c>
      <c r="AD71" s="53">
        <v>4</v>
      </c>
      <c r="AE71" s="53">
        <v>3</v>
      </c>
      <c r="AF71" s="53">
        <v>0</v>
      </c>
      <c r="AG71" s="53">
        <v>7</v>
      </c>
      <c r="AH71" s="53">
        <v>2021</v>
      </c>
      <c r="AI71" s="53" t="s">
        <v>281</v>
      </c>
      <c r="AJ71" s="53" t="s">
        <v>282</v>
      </c>
    </row>
    <row r="72" spans="1:36" hidden="1" x14ac:dyDescent="0.35">
      <c r="A72" s="53">
        <v>53063004400</v>
      </c>
      <c r="B72" s="69">
        <v>0</v>
      </c>
      <c r="C72" s="70" t="s">
        <v>139</v>
      </c>
      <c r="D72" s="71">
        <v>0</v>
      </c>
      <c r="E72" s="53" t="s">
        <v>65</v>
      </c>
      <c r="F72" s="53">
        <v>2171</v>
      </c>
      <c r="G72" s="53">
        <v>56473</v>
      </c>
      <c r="H72" s="53" t="s">
        <v>166</v>
      </c>
      <c r="I72" s="53">
        <v>211.8</v>
      </c>
      <c r="J72" s="53">
        <v>223.9</v>
      </c>
      <c r="K72" s="53">
        <v>16.600000000000001</v>
      </c>
      <c r="L72" s="53">
        <v>114.1</v>
      </c>
      <c r="M72" s="53">
        <v>55.7</v>
      </c>
      <c r="N72" s="53">
        <v>124.42</v>
      </c>
      <c r="O72" s="53">
        <v>1.1000000000000001</v>
      </c>
      <c r="P72" s="53">
        <v>1.2</v>
      </c>
      <c r="Q72" s="53">
        <v>2</v>
      </c>
      <c r="R72" s="53">
        <v>1</v>
      </c>
      <c r="S72" s="53">
        <v>1.28</v>
      </c>
      <c r="T72" s="53">
        <v>2144</v>
      </c>
      <c r="U72" s="53">
        <v>2147</v>
      </c>
      <c r="V72" s="53">
        <v>2155</v>
      </c>
      <c r="W72" s="53">
        <v>1726</v>
      </c>
      <c r="X72" s="53">
        <v>1726</v>
      </c>
      <c r="Y72" s="53">
        <v>1.1000000000000001</v>
      </c>
      <c r="Z72" s="53" t="s">
        <v>139</v>
      </c>
      <c r="AA72" s="53">
        <v>2021</v>
      </c>
      <c r="AB72" s="53">
        <v>3</v>
      </c>
      <c r="AC72" s="53">
        <v>3</v>
      </c>
      <c r="AD72" s="53">
        <v>2</v>
      </c>
      <c r="AE72" s="53">
        <v>3</v>
      </c>
      <c r="AF72" s="53">
        <v>0</v>
      </c>
      <c r="AG72" s="53">
        <v>5</v>
      </c>
      <c r="AH72" s="53">
        <v>2021</v>
      </c>
      <c r="AI72" s="53" t="s">
        <v>283</v>
      </c>
      <c r="AJ72" s="53" t="s">
        <v>284</v>
      </c>
    </row>
    <row r="73" spans="1:36" hidden="1" x14ac:dyDescent="0.35">
      <c r="A73" s="53">
        <v>53063001100</v>
      </c>
      <c r="B73" s="69">
        <v>0</v>
      </c>
      <c r="C73" s="70" t="s">
        <v>139</v>
      </c>
      <c r="D73" s="71">
        <v>0</v>
      </c>
      <c r="E73" s="53" t="s">
        <v>65</v>
      </c>
      <c r="F73" s="53">
        <v>1607</v>
      </c>
      <c r="G73" s="53">
        <v>59255</v>
      </c>
      <c r="H73" s="53" t="s">
        <v>138</v>
      </c>
      <c r="I73" s="53">
        <v>113.1</v>
      </c>
      <c r="J73" s="53">
        <v>200.3</v>
      </c>
      <c r="K73" s="53">
        <v>44.3</v>
      </c>
      <c r="L73" s="53">
        <v>168.7</v>
      </c>
      <c r="M73" s="53">
        <v>99.3</v>
      </c>
      <c r="N73" s="53">
        <v>125.14</v>
      </c>
      <c r="O73" s="53">
        <v>1.8</v>
      </c>
      <c r="P73" s="53">
        <v>1.3</v>
      </c>
      <c r="Q73" s="53">
        <v>1.2</v>
      </c>
      <c r="R73" s="53">
        <v>1.2</v>
      </c>
      <c r="S73" s="53">
        <v>1.48</v>
      </c>
      <c r="T73" s="53">
        <v>1555</v>
      </c>
      <c r="U73" s="53">
        <v>1555</v>
      </c>
      <c r="V73" s="53">
        <v>1595</v>
      </c>
      <c r="W73" s="53">
        <v>1566</v>
      </c>
      <c r="X73" s="53">
        <v>1566</v>
      </c>
      <c r="Y73" s="53">
        <v>1.9</v>
      </c>
      <c r="Z73" s="53" t="s">
        <v>139</v>
      </c>
      <c r="AA73" s="53">
        <v>2021</v>
      </c>
      <c r="AB73" s="53">
        <v>2</v>
      </c>
      <c r="AC73" s="53">
        <v>2</v>
      </c>
      <c r="AD73" s="53">
        <v>1</v>
      </c>
      <c r="AE73" s="53">
        <v>3</v>
      </c>
      <c r="AF73" s="53">
        <v>0</v>
      </c>
      <c r="AG73" s="53">
        <v>4</v>
      </c>
      <c r="AH73" s="53">
        <v>2021</v>
      </c>
      <c r="AI73" s="53" t="s">
        <v>285</v>
      </c>
      <c r="AJ73" s="53" t="s">
        <v>286</v>
      </c>
    </row>
    <row r="74" spans="1:36" x14ac:dyDescent="0.35">
      <c r="A74" s="53">
        <v>53063010202</v>
      </c>
      <c r="B74" s="69">
        <v>0</v>
      </c>
      <c r="C74" s="70" t="s">
        <v>139</v>
      </c>
      <c r="D74" s="71">
        <v>0</v>
      </c>
      <c r="E74" s="53" t="s">
        <v>65</v>
      </c>
      <c r="F74" s="53">
        <v>1791</v>
      </c>
      <c r="G74" s="53">
        <v>90685</v>
      </c>
      <c r="H74" s="53" t="s">
        <v>135</v>
      </c>
      <c r="I74" s="53">
        <v>160.80000000000001</v>
      </c>
      <c r="J74" s="53">
        <v>161.69999999999999</v>
      </c>
      <c r="K74" s="53">
        <v>106.1</v>
      </c>
      <c r="L74" s="53">
        <v>170.5</v>
      </c>
      <c r="M74" s="53">
        <v>187.8</v>
      </c>
      <c r="N74" s="53">
        <v>157.38</v>
      </c>
      <c r="O74" s="53">
        <v>2.2000000000000002</v>
      </c>
      <c r="P74" s="53">
        <v>2.9</v>
      </c>
      <c r="Q74" s="53">
        <v>1.2</v>
      </c>
      <c r="R74" s="53">
        <v>2.2000000000000002</v>
      </c>
      <c r="S74" s="53">
        <v>1.94</v>
      </c>
      <c r="T74" s="53">
        <v>1737</v>
      </c>
      <c r="U74" s="53">
        <v>1738</v>
      </c>
      <c r="V74" s="53">
        <v>1756</v>
      </c>
      <c r="W74" s="53">
        <v>1634</v>
      </c>
      <c r="X74" s="53">
        <v>1634</v>
      </c>
      <c r="Y74" s="53">
        <v>1.2</v>
      </c>
      <c r="Z74" s="53" t="s">
        <v>139</v>
      </c>
      <c r="AA74" s="53">
        <v>2021</v>
      </c>
      <c r="AB74" s="53">
        <v>4</v>
      </c>
      <c r="AC74" s="53">
        <v>4</v>
      </c>
      <c r="AD74" s="53">
        <v>4</v>
      </c>
      <c r="AE74" s="53">
        <v>3</v>
      </c>
      <c r="AF74" s="53">
        <v>0</v>
      </c>
      <c r="AG74" s="53">
        <v>7</v>
      </c>
      <c r="AH74" s="53">
        <v>2021</v>
      </c>
      <c r="AI74" s="53" t="s">
        <v>287</v>
      </c>
      <c r="AJ74" s="53" t="s">
        <v>288</v>
      </c>
    </row>
    <row r="75" spans="1:36" x14ac:dyDescent="0.35">
      <c r="A75" s="53">
        <v>53063010303</v>
      </c>
      <c r="B75" s="69">
        <v>0</v>
      </c>
      <c r="C75" s="70" t="s">
        <v>139</v>
      </c>
      <c r="D75" s="71">
        <v>0</v>
      </c>
      <c r="E75" s="53" t="s">
        <v>65</v>
      </c>
      <c r="F75" s="53">
        <v>385</v>
      </c>
      <c r="G75" s="53">
        <v>72917</v>
      </c>
      <c r="H75" s="53" t="s">
        <v>135</v>
      </c>
      <c r="I75" s="53">
        <v>90</v>
      </c>
      <c r="J75" s="53">
        <v>172</v>
      </c>
      <c r="K75" s="53">
        <v>212.4</v>
      </c>
      <c r="L75" s="53">
        <v>66.099999999999994</v>
      </c>
      <c r="M75" s="53">
        <v>127.6</v>
      </c>
      <c r="N75" s="53">
        <v>133.62</v>
      </c>
      <c r="O75" s="53">
        <v>3.8</v>
      </c>
      <c r="P75" s="53">
        <v>2.7</v>
      </c>
      <c r="Q75" s="53">
        <v>1.7</v>
      </c>
      <c r="R75" s="53">
        <v>1.1000000000000001</v>
      </c>
      <c r="S75" s="53">
        <v>2.08</v>
      </c>
      <c r="T75" s="53">
        <v>363</v>
      </c>
      <c r="U75" s="53">
        <v>363</v>
      </c>
      <c r="V75" s="53">
        <v>339</v>
      </c>
      <c r="W75" s="53">
        <v>372</v>
      </c>
      <c r="X75" s="53">
        <v>372</v>
      </c>
      <c r="Y75" s="53">
        <v>1.1000000000000001</v>
      </c>
      <c r="Z75" s="53" t="s">
        <v>139</v>
      </c>
      <c r="AA75" s="53">
        <v>2021</v>
      </c>
      <c r="AB75" s="53">
        <v>2</v>
      </c>
      <c r="AC75" s="53">
        <v>2</v>
      </c>
      <c r="AD75" s="53">
        <v>3</v>
      </c>
      <c r="AE75" s="53">
        <v>3</v>
      </c>
      <c r="AF75" s="53">
        <v>0</v>
      </c>
      <c r="AG75" s="53">
        <v>6</v>
      </c>
      <c r="AH75" s="53">
        <v>2021</v>
      </c>
      <c r="AI75" s="53" t="s">
        <v>289</v>
      </c>
      <c r="AJ75" s="53" t="s">
        <v>290</v>
      </c>
    </row>
    <row r="76" spans="1:36" hidden="1" x14ac:dyDescent="0.35">
      <c r="A76" s="53">
        <v>53063001000</v>
      </c>
      <c r="B76" s="69">
        <v>0</v>
      </c>
      <c r="C76" s="70" t="s">
        <v>139</v>
      </c>
      <c r="D76" s="71">
        <v>0</v>
      </c>
      <c r="E76" s="53" t="s">
        <v>65</v>
      </c>
      <c r="F76" s="53">
        <v>2545</v>
      </c>
      <c r="G76" s="53">
        <v>58750</v>
      </c>
      <c r="H76" s="53" t="s">
        <v>138</v>
      </c>
      <c r="I76" s="53">
        <v>119.5</v>
      </c>
      <c r="J76" s="53">
        <v>235.2</v>
      </c>
      <c r="K76" s="53">
        <v>25.4</v>
      </c>
      <c r="L76" s="53">
        <v>117.4</v>
      </c>
      <c r="M76" s="53">
        <v>242</v>
      </c>
      <c r="N76" s="53">
        <v>147.9</v>
      </c>
      <c r="O76" s="53">
        <v>1.3</v>
      </c>
      <c r="P76" s="53">
        <v>1.3</v>
      </c>
      <c r="Q76" s="53">
        <v>1.1000000000000001</v>
      </c>
      <c r="R76" s="53">
        <v>1.4</v>
      </c>
      <c r="S76" s="53">
        <v>1.24</v>
      </c>
      <c r="T76" s="53">
        <v>2530</v>
      </c>
      <c r="U76" s="53">
        <v>2521</v>
      </c>
      <c r="V76" s="53">
        <v>2535</v>
      </c>
      <c r="W76" s="53">
        <v>2521</v>
      </c>
      <c r="X76" s="53">
        <v>2521</v>
      </c>
      <c r="Y76" s="53">
        <v>1.1000000000000001</v>
      </c>
      <c r="Z76" s="53" t="s">
        <v>139</v>
      </c>
      <c r="AA76" s="53">
        <v>2021</v>
      </c>
      <c r="AB76" s="53">
        <v>4</v>
      </c>
      <c r="AC76" s="53">
        <v>4</v>
      </c>
      <c r="AD76" s="53">
        <v>3</v>
      </c>
      <c r="AE76" s="53">
        <v>3</v>
      </c>
      <c r="AF76" s="53">
        <v>0</v>
      </c>
      <c r="AG76" s="53">
        <v>6</v>
      </c>
      <c r="AH76" s="53">
        <v>2021</v>
      </c>
      <c r="AI76" s="53" t="s">
        <v>291</v>
      </c>
      <c r="AJ76" s="53" t="s">
        <v>292</v>
      </c>
    </row>
    <row r="77" spans="1:36" x14ac:dyDescent="0.35">
      <c r="A77" s="53">
        <v>53075000700</v>
      </c>
      <c r="B77" s="69">
        <v>0</v>
      </c>
      <c r="C77" s="70" t="s">
        <v>139</v>
      </c>
      <c r="D77" s="71">
        <v>0</v>
      </c>
      <c r="E77" s="53" t="s">
        <v>67</v>
      </c>
      <c r="F77" s="53">
        <v>1997</v>
      </c>
      <c r="G77" s="53">
        <v>63973</v>
      </c>
      <c r="H77" s="53" t="s">
        <v>135</v>
      </c>
      <c r="I77" s="53">
        <v>293.3</v>
      </c>
      <c r="J77" s="53">
        <v>131.4</v>
      </c>
      <c r="K77" s="53">
        <v>177.7</v>
      </c>
      <c r="L77" s="53">
        <v>174.4</v>
      </c>
      <c r="M77" s="53">
        <v>84.4</v>
      </c>
      <c r="N77" s="53">
        <v>172.24</v>
      </c>
      <c r="O77" s="53">
        <v>2.2000000000000002</v>
      </c>
      <c r="P77" s="53">
        <v>1.5</v>
      </c>
      <c r="Q77" s="53">
        <v>1.8</v>
      </c>
      <c r="R77" s="53">
        <v>1.1000000000000001</v>
      </c>
      <c r="S77" s="53">
        <v>1.68</v>
      </c>
      <c r="T77" s="53">
        <v>1969</v>
      </c>
      <c r="U77" s="53">
        <v>1964</v>
      </c>
      <c r="V77" s="53">
        <v>1972</v>
      </c>
      <c r="W77" s="53">
        <v>1949</v>
      </c>
      <c r="X77" s="53">
        <v>1949</v>
      </c>
      <c r="Y77" s="53">
        <v>1.8</v>
      </c>
      <c r="Z77" s="53" t="s">
        <v>139</v>
      </c>
      <c r="AA77" s="53">
        <v>2021</v>
      </c>
      <c r="AB77" s="53">
        <v>3</v>
      </c>
      <c r="AC77" s="53">
        <v>3</v>
      </c>
      <c r="AD77" s="53">
        <v>5</v>
      </c>
      <c r="AE77" s="53">
        <v>2</v>
      </c>
      <c r="AF77" s="53">
        <v>0</v>
      </c>
      <c r="AG77" s="53">
        <v>7</v>
      </c>
      <c r="AH77" s="53">
        <v>2021</v>
      </c>
      <c r="AI77" s="53" t="s">
        <v>293</v>
      </c>
      <c r="AJ77" s="53" t="s">
        <v>294</v>
      </c>
    </row>
    <row r="78" spans="1:36" x14ac:dyDescent="0.35">
      <c r="A78" s="53">
        <v>53065951300</v>
      </c>
      <c r="B78" s="69">
        <v>0</v>
      </c>
      <c r="C78" s="70" t="s">
        <v>139</v>
      </c>
      <c r="D78" s="71">
        <v>0</v>
      </c>
      <c r="E78" s="53" t="s">
        <v>66</v>
      </c>
      <c r="F78" s="53">
        <v>2224</v>
      </c>
      <c r="G78" s="53">
        <v>58246</v>
      </c>
      <c r="H78" s="53" t="s">
        <v>135</v>
      </c>
      <c r="I78" s="53">
        <v>358</v>
      </c>
      <c r="J78" s="53">
        <v>126.2</v>
      </c>
      <c r="K78" s="53">
        <v>122.8</v>
      </c>
      <c r="L78" s="53">
        <v>83</v>
      </c>
      <c r="M78" s="53">
        <v>219.2</v>
      </c>
      <c r="N78" s="53">
        <v>181.84</v>
      </c>
      <c r="O78" s="53">
        <v>2.2999999999999998</v>
      </c>
      <c r="P78" s="53">
        <v>1.4</v>
      </c>
      <c r="Q78" s="53">
        <v>1.9</v>
      </c>
      <c r="R78" s="53">
        <v>2</v>
      </c>
      <c r="S78" s="53">
        <v>1.86</v>
      </c>
      <c r="T78" s="53">
        <v>2146</v>
      </c>
      <c r="U78" s="53">
        <v>2146</v>
      </c>
      <c r="V78" s="53">
        <v>2126</v>
      </c>
      <c r="W78" s="53">
        <v>2162</v>
      </c>
      <c r="X78" s="53">
        <v>2162</v>
      </c>
      <c r="Y78" s="53">
        <v>1.7</v>
      </c>
      <c r="Z78" s="53" t="s">
        <v>134</v>
      </c>
      <c r="AA78" s="53">
        <v>2021</v>
      </c>
      <c r="AB78" s="53">
        <v>3</v>
      </c>
      <c r="AC78" s="53">
        <v>3</v>
      </c>
      <c r="AD78" s="53">
        <v>7</v>
      </c>
      <c r="AE78" s="53">
        <v>4</v>
      </c>
      <c r="AF78" s="53">
        <v>0</v>
      </c>
      <c r="AG78" s="53">
        <v>11</v>
      </c>
      <c r="AH78" s="53">
        <v>2021</v>
      </c>
      <c r="AI78" s="53" t="s">
        <v>295</v>
      </c>
      <c r="AJ78" s="53" t="s">
        <v>296</v>
      </c>
    </row>
    <row r="79" spans="1:36" hidden="1" x14ac:dyDescent="0.35">
      <c r="A79" s="53">
        <v>53003960100</v>
      </c>
      <c r="B79" s="69">
        <v>0</v>
      </c>
      <c r="C79" s="70" t="s">
        <v>139</v>
      </c>
      <c r="D79" s="71">
        <v>0</v>
      </c>
      <c r="E79" s="53" t="s">
        <v>62</v>
      </c>
      <c r="F79" s="53">
        <v>1678</v>
      </c>
      <c r="G79" s="53">
        <v>67386</v>
      </c>
      <c r="H79" s="53" t="s">
        <v>152</v>
      </c>
      <c r="I79" s="53">
        <v>242.5</v>
      </c>
      <c r="J79" s="53">
        <v>58</v>
      </c>
      <c r="K79" s="53">
        <v>203.3</v>
      </c>
      <c r="L79" s="53">
        <v>166.6</v>
      </c>
      <c r="M79" s="53">
        <v>149.5</v>
      </c>
      <c r="N79" s="53">
        <v>163.98</v>
      </c>
      <c r="O79" s="53">
        <v>1</v>
      </c>
      <c r="P79" s="53">
        <v>1.7</v>
      </c>
      <c r="Q79" s="53">
        <v>1.3</v>
      </c>
      <c r="R79" s="53">
        <v>1.1000000000000001</v>
      </c>
      <c r="S79" s="53">
        <v>1.28</v>
      </c>
      <c r="T79" s="53">
        <v>1631</v>
      </c>
      <c r="U79" s="53">
        <v>1636</v>
      </c>
      <c r="V79" s="53">
        <v>1645</v>
      </c>
      <c r="W79" s="53">
        <v>1642</v>
      </c>
      <c r="X79" s="53">
        <v>1642</v>
      </c>
      <c r="Y79" s="53">
        <v>1.3</v>
      </c>
      <c r="Z79" s="53" t="s">
        <v>139</v>
      </c>
      <c r="AA79" s="53">
        <v>2021</v>
      </c>
      <c r="AB79" s="53">
        <v>3</v>
      </c>
      <c r="AC79" s="53">
        <v>3</v>
      </c>
      <c r="AD79" s="53">
        <v>6</v>
      </c>
      <c r="AE79" s="53">
        <v>1</v>
      </c>
      <c r="AF79" s="53">
        <v>0</v>
      </c>
      <c r="AG79" s="53">
        <v>7</v>
      </c>
      <c r="AH79" s="53">
        <v>2021</v>
      </c>
      <c r="AI79" s="53" t="s">
        <v>297</v>
      </c>
      <c r="AJ79" s="53" t="s">
        <v>298</v>
      </c>
    </row>
    <row r="80" spans="1:36" hidden="1" x14ac:dyDescent="0.35">
      <c r="A80" s="53">
        <v>53003960400</v>
      </c>
      <c r="B80" s="69">
        <v>0</v>
      </c>
      <c r="C80" s="70" t="s">
        <v>139</v>
      </c>
      <c r="D80" s="71">
        <v>0</v>
      </c>
      <c r="E80" s="53" t="s">
        <v>62</v>
      </c>
      <c r="F80" s="53">
        <v>1101</v>
      </c>
      <c r="G80" s="53">
        <v>46691</v>
      </c>
      <c r="H80" s="53" t="s">
        <v>166</v>
      </c>
      <c r="I80" s="53">
        <v>146.9</v>
      </c>
      <c r="J80" s="53">
        <v>86</v>
      </c>
      <c r="K80" s="53">
        <v>259.10000000000002</v>
      </c>
      <c r="L80" s="53">
        <v>130.1</v>
      </c>
      <c r="M80" s="53">
        <v>237.5</v>
      </c>
      <c r="N80" s="53">
        <v>171.92</v>
      </c>
      <c r="O80" s="53">
        <v>1.9</v>
      </c>
      <c r="P80" s="53">
        <v>1.2</v>
      </c>
      <c r="Q80" s="53">
        <v>1.2</v>
      </c>
      <c r="R80" s="53">
        <v>1.2</v>
      </c>
      <c r="S80" s="53">
        <v>1.3</v>
      </c>
      <c r="T80" s="53">
        <v>1083</v>
      </c>
      <c r="U80" s="53">
        <v>1086</v>
      </c>
      <c r="V80" s="53">
        <v>1090</v>
      </c>
      <c r="W80" s="53">
        <v>1089</v>
      </c>
      <c r="X80" s="53">
        <v>1089</v>
      </c>
      <c r="Y80" s="53">
        <v>1</v>
      </c>
      <c r="Z80" s="53" t="s">
        <v>139</v>
      </c>
      <c r="AA80" s="53">
        <v>2021</v>
      </c>
      <c r="AB80" s="53">
        <v>5</v>
      </c>
      <c r="AC80" s="53">
        <v>5</v>
      </c>
      <c r="AD80" s="53">
        <v>7</v>
      </c>
      <c r="AE80" s="53">
        <v>6</v>
      </c>
      <c r="AF80" s="53">
        <v>0</v>
      </c>
      <c r="AG80" s="53">
        <v>13</v>
      </c>
      <c r="AH80" s="53">
        <v>2021</v>
      </c>
      <c r="AI80" s="53" t="s">
        <v>299</v>
      </c>
      <c r="AJ80" s="53" t="s">
        <v>300</v>
      </c>
    </row>
    <row r="81" spans="1:36" hidden="1" x14ac:dyDescent="0.35">
      <c r="A81" s="53">
        <v>53063000900</v>
      </c>
      <c r="B81" s="69">
        <v>0</v>
      </c>
      <c r="C81" s="70" t="s">
        <v>139</v>
      </c>
      <c r="D81" s="71">
        <v>0</v>
      </c>
      <c r="E81" s="53" t="s">
        <v>65</v>
      </c>
      <c r="F81" s="53">
        <v>2650</v>
      </c>
      <c r="G81" s="53">
        <v>60485</v>
      </c>
      <c r="H81" s="53" t="s">
        <v>166</v>
      </c>
      <c r="I81" s="53">
        <v>256.8</v>
      </c>
      <c r="J81" s="53">
        <v>219.4</v>
      </c>
      <c r="K81" s="53">
        <v>87.2</v>
      </c>
      <c r="L81" s="53">
        <v>167.7</v>
      </c>
      <c r="M81" s="53">
        <v>208.5</v>
      </c>
      <c r="N81" s="53">
        <v>187.92</v>
      </c>
      <c r="O81" s="53">
        <v>1.3</v>
      </c>
      <c r="P81" s="53">
        <v>1.3</v>
      </c>
      <c r="Q81" s="53">
        <v>3.1</v>
      </c>
      <c r="R81" s="53">
        <v>1.1000000000000001</v>
      </c>
      <c r="S81" s="53">
        <v>1.58</v>
      </c>
      <c r="T81" s="53">
        <v>2630</v>
      </c>
      <c r="U81" s="53">
        <v>2628</v>
      </c>
      <c r="V81" s="53">
        <v>2639</v>
      </c>
      <c r="W81" s="53">
        <v>2548</v>
      </c>
      <c r="X81" s="53">
        <v>2548</v>
      </c>
      <c r="Y81" s="53">
        <v>1.1000000000000001</v>
      </c>
      <c r="Z81" s="53" t="s">
        <v>139</v>
      </c>
      <c r="AA81" s="53">
        <v>2021</v>
      </c>
      <c r="AB81" s="53">
        <v>7</v>
      </c>
      <c r="AC81" s="53">
        <v>7</v>
      </c>
      <c r="AD81" s="53">
        <v>7</v>
      </c>
      <c r="AE81" s="53">
        <v>4</v>
      </c>
      <c r="AF81" s="53">
        <v>0</v>
      </c>
      <c r="AG81" s="53">
        <v>11</v>
      </c>
      <c r="AH81" s="53">
        <v>2021</v>
      </c>
      <c r="AI81" s="53" t="s">
        <v>301</v>
      </c>
      <c r="AJ81" s="53" t="s">
        <v>302</v>
      </c>
    </row>
    <row r="82" spans="1:36" hidden="1" x14ac:dyDescent="0.35">
      <c r="A82" s="53">
        <v>53063010503</v>
      </c>
      <c r="B82" s="69">
        <v>0</v>
      </c>
      <c r="C82" s="70" t="s">
        <v>139</v>
      </c>
      <c r="D82" s="71">
        <v>0</v>
      </c>
      <c r="E82" s="53" t="s">
        <v>65</v>
      </c>
      <c r="F82" s="53">
        <v>3796</v>
      </c>
      <c r="G82" s="53">
        <v>92274</v>
      </c>
      <c r="H82" s="53" t="s">
        <v>152</v>
      </c>
      <c r="I82" s="53">
        <v>161.6</v>
      </c>
      <c r="J82" s="53">
        <v>266.5</v>
      </c>
      <c r="K82" s="53">
        <v>281.10000000000002</v>
      </c>
      <c r="L82" s="53">
        <v>110.7</v>
      </c>
      <c r="M82" s="53">
        <v>319.3</v>
      </c>
      <c r="N82" s="53">
        <v>227.84</v>
      </c>
      <c r="O82" s="53">
        <v>1.5</v>
      </c>
      <c r="P82" s="53">
        <v>1.9</v>
      </c>
      <c r="Q82" s="53">
        <v>1.5</v>
      </c>
      <c r="R82" s="53">
        <v>1.6</v>
      </c>
      <c r="S82" s="53">
        <v>1.56</v>
      </c>
      <c r="T82" s="53">
        <v>3202</v>
      </c>
      <c r="U82" s="53">
        <v>3280</v>
      </c>
      <c r="V82" s="53">
        <v>3557</v>
      </c>
      <c r="W82" s="53">
        <v>2956</v>
      </c>
      <c r="X82" s="53">
        <v>2956</v>
      </c>
      <c r="Y82" s="53">
        <v>1.3</v>
      </c>
      <c r="Z82" s="53" t="s">
        <v>139</v>
      </c>
      <c r="AA82" s="53">
        <v>2021</v>
      </c>
      <c r="AB82" s="53">
        <v>3</v>
      </c>
      <c r="AC82" s="53">
        <v>3</v>
      </c>
      <c r="AD82" s="53">
        <v>2</v>
      </c>
      <c r="AE82" s="53">
        <v>1</v>
      </c>
      <c r="AF82" s="53">
        <v>0</v>
      </c>
      <c r="AG82" s="53">
        <v>3</v>
      </c>
      <c r="AH82" s="53">
        <v>2021</v>
      </c>
      <c r="AI82" s="53" t="s">
        <v>303</v>
      </c>
      <c r="AJ82" s="53" t="s">
        <v>304</v>
      </c>
    </row>
    <row r="83" spans="1:36" hidden="1" x14ac:dyDescent="0.35">
      <c r="A83" s="53">
        <v>53063013401</v>
      </c>
      <c r="B83" s="69">
        <v>0</v>
      </c>
      <c r="C83" s="70" t="s">
        <v>139</v>
      </c>
      <c r="D83" s="71">
        <v>0</v>
      </c>
      <c r="E83" s="53" t="s">
        <v>65</v>
      </c>
      <c r="F83" s="53">
        <v>2386</v>
      </c>
      <c r="G83" s="53">
        <v>99871</v>
      </c>
      <c r="H83" s="53" t="s">
        <v>152</v>
      </c>
      <c r="I83" s="53">
        <v>133</v>
      </c>
      <c r="J83" s="53">
        <v>127.1</v>
      </c>
      <c r="K83" s="53">
        <v>32.4</v>
      </c>
      <c r="L83" s="53">
        <v>119.5</v>
      </c>
      <c r="M83" s="53">
        <v>175</v>
      </c>
      <c r="N83" s="53">
        <v>117.4</v>
      </c>
      <c r="O83" s="53">
        <v>1.3</v>
      </c>
      <c r="P83" s="53">
        <v>1.2</v>
      </c>
      <c r="Q83" s="53">
        <v>1.5</v>
      </c>
      <c r="R83" s="53">
        <v>1.5</v>
      </c>
      <c r="S83" s="53">
        <v>1.3</v>
      </c>
      <c r="T83" s="53">
        <v>2119</v>
      </c>
      <c r="U83" s="53">
        <v>2139</v>
      </c>
      <c r="V83" s="53">
        <v>2208</v>
      </c>
      <c r="W83" s="53">
        <v>987</v>
      </c>
      <c r="X83" s="53">
        <v>987</v>
      </c>
      <c r="Y83" s="53">
        <v>1</v>
      </c>
      <c r="Z83" s="53" t="s">
        <v>139</v>
      </c>
      <c r="AA83" s="53">
        <v>2021</v>
      </c>
      <c r="AB83" s="53">
        <v>3</v>
      </c>
      <c r="AC83" s="53">
        <v>3</v>
      </c>
      <c r="AD83" s="53">
        <v>3</v>
      </c>
      <c r="AE83" s="53">
        <v>4</v>
      </c>
      <c r="AF83" s="53">
        <v>0</v>
      </c>
      <c r="AG83" s="53">
        <v>7</v>
      </c>
      <c r="AH83" s="53">
        <v>2021</v>
      </c>
      <c r="AI83" s="53" t="s">
        <v>305</v>
      </c>
      <c r="AJ83" s="53" t="s">
        <v>306</v>
      </c>
    </row>
    <row r="84" spans="1:36" hidden="1" x14ac:dyDescent="0.35">
      <c r="A84" s="53">
        <v>53063012402</v>
      </c>
      <c r="B84" s="69">
        <v>0</v>
      </c>
      <c r="C84" s="70" t="s">
        <v>139</v>
      </c>
      <c r="D84" s="71">
        <v>0</v>
      </c>
      <c r="E84" s="53" t="s">
        <v>65</v>
      </c>
      <c r="F84" s="53">
        <v>249</v>
      </c>
      <c r="G84" s="53">
        <v>88632</v>
      </c>
      <c r="H84" s="53" t="s">
        <v>152</v>
      </c>
      <c r="I84" s="53">
        <v>31.6</v>
      </c>
      <c r="J84" s="53">
        <v>86.4</v>
      </c>
      <c r="K84" s="53">
        <v>73</v>
      </c>
      <c r="L84" s="53">
        <v>54.6</v>
      </c>
      <c r="M84" s="53">
        <v>395</v>
      </c>
      <c r="N84" s="53">
        <v>128.12</v>
      </c>
      <c r="O84" s="53">
        <v>1</v>
      </c>
      <c r="P84" s="53">
        <v>2</v>
      </c>
      <c r="Q84" s="53">
        <v>1</v>
      </c>
      <c r="R84" s="53">
        <v>1.2</v>
      </c>
      <c r="S84" s="53">
        <v>1.42</v>
      </c>
      <c r="T84" s="53">
        <v>243</v>
      </c>
      <c r="U84" s="53">
        <v>243</v>
      </c>
      <c r="V84" s="53">
        <v>247</v>
      </c>
      <c r="W84" s="53">
        <v>245</v>
      </c>
      <c r="X84" s="53">
        <v>245</v>
      </c>
      <c r="Y84" s="53">
        <v>1.9</v>
      </c>
      <c r="Z84" s="53" t="s">
        <v>139</v>
      </c>
      <c r="AA84" s="53">
        <v>2021</v>
      </c>
      <c r="AB84" s="53">
        <v>1</v>
      </c>
      <c r="AC84" s="53">
        <v>1</v>
      </c>
      <c r="AD84" s="53">
        <v>1</v>
      </c>
      <c r="AE84" s="53">
        <v>1</v>
      </c>
      <c r="AF84" s="53">
        <v>0</v>
      </c>
      <c r="AG84" s="53">
        <v>2</v>
      </c>
      <c r="AH84" s="53">
        <v>2021</v>
      </c>
      <c r="AI84" s="53" t="s">
        <v>307</v>
      </c>
      <c r="AJ84" s="53" t="s">
        <v>308</v>
      </c>
    </row>
    <row r="85" spans="1:36" hidden="1" x14ac:dyDescent="0.35">
      <c r="A85" s="53">
        <v>53063004000</v>
      </c>
      <c r="B85" s="69">
        <v>0</v>
      </c>
      <c r="C85" s="70" t="s">
        <v>139</v>
      </c>
      <c r="D85" s="71">
        <v>0</v>
      </c>
      <c r="E85" s="53" t="s">
        <v>65</v>
      </c>
      <c r="F85" s="53">
        <v>3246</v>
      </c>
      <c r="G85" s="53">
        <v>35529</v>
      </c>
      <c r="H85" s="53" t="s">
        <v>309</v>
      </c>
      <c r="I85" s="53">
        <v>154.80000000000001</v>
      </c>
      <c r="J85" s="53">
        <v>181.4</v>
      </c>
      <c r="K85" s="53">
        <v>162.69999999999999</v>
      </c>
      <c r="L85" s="53">
        <v>52.6</v>
      </c>
      <c r="M85" s="53">
        <v>133</v>
      </c>
      <c r="N85" s="53">
        <v>136.9</v>
      </c>
      <c r="O85" s="53">
        <v>1</v>
      </c>
      <c r="P85" s="53">
        <v>1</v>
      </c>
      <c r="Q85" s="53">
        <v>1</v>
      </c>
      <c r="R85" s="53">
        <v>1.6</v>
      </c>
      <c r="S85" s="53">
        <v>1.1399999999999999</v>
      </c>
      <c r="T85" s="53">
        <v>3208</v>
      </c>
      <c r="U85" s="53">
        <v>3204</v>
      </c>
      <c r="V85" s="53">
        <v>3220</v>
      </c>
      <c r="W85" s="53">
        <v>1853</v>
      </c>
      <c r="X85" s="53">
        <v>1853</v>
      </c>
      <c r="Y85" s="53">
        <v>1.1000000000000001</v>
      </c>
      <c r="Z85" s="53" t="s">
        <v>139</v>
      </c>
      <c r="AA85" s="53">
        <v>2021</v>
      </c>
      <c r="AB85" s="53">
        <v>8</v>
      </c>
      <c r="AC85" s="53">
        <v>8</v>
      </c>
      <c r="AD85" s="53">
        <v>7</v>
      </c>
      <c r="AE85" s="53">
        <v>5</v>
      </c>
      <c r="AF85" s="53">
        <v>0</v>
      </c>
      <c r="AG85" s="53">
        <v>12</v>
      </c>
      <c r="AH85" s="53">
        <v>2021</v>
      </c>
      <c r="AI85" s="53" t="s">
        <v>310</v>
      </c>
      <c r="AJ85" s="53" t="s">
        <v>311</v>
      </c>
    </row>
    <row r="86" spans="1:36" hidden="1" x14ac:dyDescent="0.35">
      <c r="A86" s="53">
        <v>53043960100</v>
      </c>
      <c r="B86" s="69">
        <v>0</v>
      </c>
      <c r="C86" s="70" t="s">
        <v>139</v>
      </c>
      <c r="D86" s="71">
        <v>0</v>
      </c>
      <c r="E86" s="53" t="s">
        <v>64</v>
      </c>
      <c r="F86" s="53">
        <v>1030</v>
      </c>
      <c r="G86" s="53">
        <v>54663</v>
      </c>
      <c r="H86" s="53" t="s">
        <v>152</v>
      </c>
      <c r="I86" s="53">
        <v>51.2</v>
      </c>
      <c r="J86" s="53">
        <v>156.19999999999999</v>
      </c>
      <c r="K86" s="53">
        <v>243.2</v>
      </c>
      <c r="L86" s="53">
        <v>148.80000000000001</v>
      </c>
      <c r="M86" s="53">
        <v>112.4</v>
      </c>
      <c r="N86" s="53">
        <v>142.36000000000001</v>
      </c>
      <c r="O86" s="53">
        <v>1.1000000000000001</v>
      </c>
      <c r="P86" s="53">
        <v>4.0999999999999996</v>
      </c>
      <c r="Q86" s="53">
        <v>1.5</v>
      </c>
      <c r="R86" s="53">
        <v>1.6</v>
      </c>
      <c r="S86" s="53">
        <v>1.88</v>
      </c>
      <c r="T86" s="53">
        <v>1026</v>
      </c>
      <c r="U86" s="53">
        <v>1023</v>
      </c>
      <c r="V86" s="53">
        <v>1022</v>
      </c>
      <c r="W86" s="53">
        <v>1017</v>
      </c>
      <c r="X86" s="53">
        <v>1017</v>
      </c>
      <c r="Y86" s="53">
        <v>1.1000000000000001</v>
      </c>
      <c r="Z86" s="53" t="s">
        <v>139</v>
      </c>
      <c r="AA86" s="53">
        <v>2021</v>
      </c>
      <c r="AB86" s="53">
        <v>3</v>
      </c>
      <c r="AC86" s="53">
        <v>3</v>
      </c>
      <c r="AD86" s="53">
        <v>4</v>
      </c>
      <c r="AE86" s="53">
        <v>2</v>
      </c>
      <c r="AF86" s="53">
        <v>0</v>
      </c>
      <c r="AG86" s="53">
        <v>6</v>
      </c>
      <c r="AH86" s="53">
        <v>2021</v>
      </c>
      <c r="AI86" s="53" t="s">
        <v>312</v>
      </c>
      <c r="AJ86" s="53" t="s">
        <v>313</v>
      </c>
    </row>
    <row r="87" spans="1:36" hidden="1" x14ac:dyDescent="0.35">
      <c r="A87" s="53">
        <v>53063011800</v>
      </c>
      <c r="B87" s="69">
        <v>0</v>
      </c>
      <c r="C87" s="70" t="s">
        <v>139</v>
      </c>
      <c r="D87" s="71">
        <v>0</v>
      </c>
      <c r="E87" s="53" t="s">
        <v>65</v>
      </c>
      <c r="F87" s="53">
        <v>27</v>
      </c>
      <c r="G87" s="53">
        <v>30344</v>
      </c>
      <c r="H87" s="53" t="s">
        <v>166</v>
      </c>
      <c r="I87" s="53">
        <v>487.4</v>
      </c>
      <c r="J87" s="53">
        <v>0</v>
      </c>
      <c r="K87" s="53">
        <v>103.5</v>
      </c>
      <c r="L87" s="53">
        <v>24</v>
      </c>
      <c r="M87" s="53">
        <v>0</v>
      </c>
      <c r="N87" s="53">
        <v>122.98</v>
      </c>
      <c r="O87" s="53">
        <v>1.1000000000000001</v>
      </c>
      <c r="P87" s="53">
        <v>0</v>
      </c>
      <c r="Q87" s="53">
        <v>1</v>
      </c>
      <c r="R87" s="53">
        <v>1</v>
      </c>
      <c r="S87" s="53">
        <v>0.62</v>
      </c>
      <c r="T87" s="53">
        <v>27</v>
      </c>
      <c r="U87" s="53">
        <v>27</v>
      </c>
      <c r="V87" s="53">
        <v>27</v>
      </c>
      <c r="W87" s="53">
        <v>27</v>
      </c>
      <c r="X87" s="53">
        <v>27</v>
      </c>
      <c r="Y87" s="53">
        <v>0</v>
      </c>
      <c r="Z87" s="53" t="s">
        <v>139</v>
      </c>
      <c r="AA87" s="53">
        <v>2021</v>
      </c>
      <c r="AB87" s="53">
        <v>8</v>
      </c>
      <c r="AC87" s="53">
        <v>8</v>
      </c>
      <c r="AD87" s="53">
        <v>6</v>
      </c>
      <c r="AE87" s="53">
        <v>7</v>
      </c>
      <c r="AF87" s="53">
        <v>0</v>
      </c>
      <c r="AG87" s="53">
        <v>13</v>
      </c>
      <c r="AH87" s="53">
        <v>2021</v>
      </c>
      <c r="AI87" s="53" t="s">
        <v>314</v>
      </c>
      <c r="AJ87" s="53" t="s">
        <v>315</v>
      </c>
    </row>
    <row r="88" spans="1:36" hidden="1" x14ac:dyDescent="0.35">
      <c r="A88" s="53">
        <v>53063000600</v>
      </c>
      <c r="B88" s="69">
        <v>0</v>
      </c>
      <c r="C88" s="70" t="s">
        <v>139</v>
      </c>
      <c r="D88" s="71">
        <v>0</v>
      </c>
      <c r="E88" s="53" t="s">
        <v>65</v>
      </c>
      <c r="F88" s="53">
        <v>1367</v>
      </c>
      <c r="G88" s="53">
        <v>54818</v>
      </c>
      <c r="H88" s="53" t="s">
        <v>138</v>
      </c>
      <c r="I88" s="53">
        <v>260.10000000000002</v>
      </c>
      <c r="J88" s="53">
        <v>218.6</v>
      </c>
      <c r="K88" s="53">
        <v>76.099999999999994</v>
      </c>
      <c r="L88" s="53">
        <v>221</v>
      </c>
      <c r="M88" s="53">
        <v>140.5</v>
      </c>
      <c r="N88" s="53">
        <v>183.26</v>
      </c>
      <c r="O88" s="53">
        <v>1.1000000000000001</v>
      </c>
      <c r="P88" s="53">
        <v>1.3</v>
      </c>
      <c r="Q88" s="53">
        <v>1.1000000000000001</v>
      </c>
      <c r="R88" s="53">
        <v>1.2</v>
      </c>
      <c r="S88" s="53">
        <v>1.1399999999999999</v>
      </c>
      <c r="T88" s="53">
        <v>1357</v>
      </c>
      <c r="U88" s="53">
        <v>1357</v>
      </c>
      <c r="V88" s="53">
        <v>1359</v>
      </c>
      <c r="W88" s="53">
        <v>1339</v>
      </c>
      <c r="X88" s="53">
        <v>1339</v>
      </c>
      <c r="Y88" s="53">
        <v>1</v>
      </c>
      <c r="Z88" s="53" t="s">
        <v>139</v>
      </c>
      <c r="AA88" s="53">
        <v>2021</v>
      </c>
      <c r="AB88" s="53">
        <v>7</v>
      </c>
      <c r="AC88" s="53">
        <v>7</v>
      </c>
      <c r="AD88" s="53">
        <v>5</v>
      </c>
      <c r="AE88" s="53">
        <v>3</v>
      </c>
      <c r="AF88" s="53">
        <v>0</v>
      </c>
      <c r="AG88" s="53">
        <v>8</v>
      </c>
      <c r="AH88" s="53">
        <v>2021</v>
      </c>
      <c r="AI88" s="53" t="s">
        <v>316</v>
      </c>
      <c r="AJ88" s="53" t="s">
        <v>317</v>
      </c>
    </row>
    <row r="89" spans="1:36" hidden="1" x14ac:dyDescent="0.35">
      <c r="A89" s="53">
        <v>53065950200</v>
      </c>
      <c r="B89" s="69">
        <v>0</v>
      </c>
      <c r="C89" s="70" t="s">
        <v>139</v>
      </c>
      <c r="D89" s="71">
        <v>0</v>
      </c>
      <c r="E89" s="53" t="s">
        <v>66</v>
      </c>
      <c r="F89" s="53">
        <v>2254</v>
      </c>
      <c r="G89" s="53">
        <v>55457</v>
      </c>
      <c r="H89" s="53" t="s">
        <v>152</v>
      </c>
      <c r="I89" s="53">
        <v>230.1</v>
      </c>
      <c r="J89" s="53">
        <v>164</v>
      </c>
      <c r="K89" s="53">
        <v>189.1</v>
      </c>
      <c r="L89" s="53">
        <v>175.3</v>
      </c>
      <c r="M89" s="53">
        <v>218.2</v>
      </c>
      <c r="N89" s="53">
        <v>195.34</v>
      </c>
      <c r="O89" s="53">
        <v>5.9</v>
      </c>
      <c r="P89" s="53">
        <v>2.2000000000000002</v>
      </c>
      <c r="Q89" s="53">
        <v>4.3</v>
      </c>
      <c r="R89" s="53">
        <v>3.4</v>
      </c>
      <c r="S89" s="53">
        <v>3.94</v>
      </c>
      <c r="T89" s="53">
        <v>2180</v>
      </c>
      <c r="U89" s="53">
        <v>2124</v>
      </c>
      <c r="V89" s="53">
        <v>2184</v>
      </c>
      <c r="W89" s="53">
        <v>2216</v>
      </c>
      <c r="X89" s="53">
        <v>2216</v>
      </c>
      <c r="Y89" s="53">
        <v>3.9</v>
      </c>
      <c r="Z89" s="53" t="s">
        <v>139</v>
      </c>
      <c r="AA89" s="53">
        <v>2021</v>
      </c>
      <c r="AB89" s="53">
        <v>1</v>
      </c>
      <c r="AC89" s="53">
        <v>1</v>
      </c>
      <c r="AD89" s="53">
        <v>2</v>
      </c>
      <c r="AE89" s="53">
        <v>4</v>
      </c>
      <c r="AF89" s="53">
        <v>0</v>
      </c>
      <c r="AG89" s="53">
        <v>6</v>
      </c>
      <c r="AH89" s="53">
        <v>2021</v>
      </c>
      <c r="AI89" s="53" t="s">
        <v>318</v>
      </c>
      <c r="AJ89" s="53" t="s">
        <v>319</v>
      </c>
    </row>
    <row r="90" spans="1:36" hidden="1" x14ac:dyDescent="0.35">
      <c r="A90" s="53">
        <v>53075000200</v>
      </c>
      <c r="B90" s="69">
        <v>0</v>
      </c>
      <c r="C90" s="70" t="s">
        <v>139</v>
      </c>
      <c r="D90" s="71">
        <v>0</v>
      </c>
      <c r="E90" s="53" t="s">
        <v>67</v>
      </c>
      <c r="F90" s="53">
        <v>3618</v>
      </c>
      <c r="G90" s="53">
        <v>52222</v>
      </c>
      <c r="H90" s="53" t="s">
        <v>161</v>
      </c>
      <c r="I90" s="53">
        <v>204.3</v>
      </c>
      <c r="J90" s="53">
        <v>138</v>
      </c>
      <c r="K90" s="53">
        <v>143.6</v>
      </c>
      <c r="L90" s="53">
        <v>139.80000000000001</v>
      </c>
      <c r="M90" s="53">
        <v>113.1</v>
      </c>
      <c r="N90" s="53">
        <v>147.76</v>
      </c>
      <c r="O90" s="53">
        <v>1.5</v>
      </c>
      <c r="P90" s="53">
        <v>1.2</v>
      </c>
      <c r="Q90" s="53">
        <v>1.2</v>
      </c>
      <c r="R90" s="53">
        <v>1.2</v>
      </c>
      <c r="S90" s="53">
        <v>1.66</v>
      </c>
      <c r="T90" s="53">
        <v>3326</v>
      </c>
      <c r="U90" s="53">
        <v>3336</v>
      </c>
      <c r="V90" s="53">
        <v>3344</v>
      </c>
      <c r="W90" s="53">
        <v>3323</v>
      </c>
      <c r="X90" s="53">
        <v>3323</v>
      </c>
      <c r="Y90" s="53">
        <v>3.2</v>
      </c>
      <c r="Z90" s="53" t="s">
        <v>139</v>
      </c>
      <c r="AA90" s="53">
        <v>2021</v>
      </c>
      <c r="AB90" s="53">
        <v>3</v>
      </c>
      <c r="AC90" s="53">
        <v>3</v>
      </c>
      <c r="AD90" s="53">
        <v>3</v>
      </c>
      <c r="AE90" s="53">
        <v>5</v>
      </c>
      <c r="AF90" s="53">
        <v>0</v>
      </c>
      <c r="AG90" s="53">
        <v>8</v>
      </c>
      <c r="AH90" s="53">
        <v>2021</v>
      </c>
      <c r="AI90" s="53" t="s">
        <v>320</v>
      </c>
      <c r="AJ90" s="53" t="s">
        <v>321</v>
      </c>
    </row>
    <row r="91" spans="1:36" x14ac:dyDescent="0.35">
      <c r="A91" s="53">
        <v>53063013800</v>
      </c>
      <c r="B91" s="69">
        <v>0</v>
      </c>
      <c r="C91" s="70" t="s">
        <v>139</v>
      </c>
      <c r="D91" s="71">
        <v>0</v>
      </c>
      <c r="E91" s="53" t="s">
        <v>65</v>
      </c>
      <c r="F91" s="53">
        <v>8</v>
      </c>
      <c r="G91" s="53">
        <v>67461</v>
      </c>
      <c r="H91" s="53" t="s">
        <v>135</v>
      </c>
      <c r="I91" s="53">
        <v>495.8</v>
      </c>
      <c r="J91" s="53">
        <v>215.2</v>
      </c>
      <c r="K91" s="53">
        <v>369.9</v>
      </c>
      <c r="L91" s="53">
        <v>0</v>
      </c>
      <c r="M91" s="53">
        <v>206.7</v>
      </c>
      <c r="N91" s="53">
        <v>257.52</v>
      </c>
      <c r="O91" s="53">
        <v>1</v>
      </c>
      <c r="P91" s="53">
        <v>1.4</v>
      </c>
      <c r="Q91" s="53">
        <v>1</v>
      </c>
      <c r="R91" s="53">
        <v>0</v>
      </c>
      <c r="S91" s="53">
        <v>0.88000000000000012</v>
      </c>
      <c r="T91" s="53">
        <v>644</v>
      </c>
      <c r="U91" s="53">
        <v>644</v>
      </c>
      <c r="V91" s="53">
        <v>644</v>
      </c>
      <c r="W91" s="53">
        <v>638</v>
      </c>
      <c r="X91" s="53">
        <v>638</v>
      </c>
      <c r="Y91" s="53">
        <v>1</v>
      </c>
      <c r="Z91" s="53" t="s">
        <v>139</v>
      </c>
      <c r="AA91" s="53">
        <v>2021</v>
      </c>
      <c r="AB91" s="53">
        <v>2</v>
      </c>
      <c r="AC91" s="53">
        <v>2</v>
      </c>
      <c r="AD91" s="53">
        <v>2</v>
      </c>
      <c r="AE91" s="53">
        <v>5</v>
      </c>
      <c r="AF91" s="53">
        <v>0</v>
      </c>
      <c r="AG91" s="53">
        <v>7</v>
      </c>
      <c r="AH91" s="53">
        <v>2021</v>
      </c>
      <c r="AI91" s="53" t="s">
        <v>322</v>
      </c>
      <c r="AJ91" s="53" t="s">
        <v>323</v>
      </c>
    </row>
    <row r="92" spans="1:36" hidden="1" x14ac:dyDescent="0.35">
      <c r="A92" s="53">
        <v>53063004200</v>
      </c>
      <c r="B92" s="69">
        <v>0</v>
      </c>
      <c r="C92" s="70" t="s">
        <v>139</v>
      </c>
      <c r="D92" s="71">
        <v>0</v>
      </c>
      <c r="E92" s="53" t="s">
        <v>65</v>
      </c>
      <c r="F92" s="53">
        <v>2116</v>
      </c>
      <c r="G92" s="53">
        <v>93514</v>
      </c>
      <c r="H92" s="53" t="s">
        <v>138</v>
      </c>
      <c r="I92" s="53">
        <v>372.2</v>
      </c>
      <c r="J92" s="53">
        <v>235.1</v>
      </c>
      <c r="K92" s="53">
        <v>81.7</v>
      </c>
      <c r="L92" s="53">
        <v>65.3</v>
      </c>
      <c r="M92" s="53">
        <v>273.2</v>
      </c>
      <c r="N92" s="53">
        <v>205.5</v>
      </c>
      <c r="O92" s="53">
        <v>1.2</v>
      </c>
      <c r="P92" s="53">
        <v>1.3</v>
      </c>
      <c r="Q92" s="53">
        <v>1.1000000000000001</v>
      </c>
      <c r="R92" s="53">
        <v>1</v>
      </c>
      <c r="S92" s="53">
        <v>1.1399999999999999</v>
      </c>
      <c r="T92" s="53">
        <v>2095</v>
      </c>
      <c r="U92" s="53">
        <v>2099</v>
      </c>
      <c r="V92" s="53">
        <v>2101</v>
      </c>
      <c r="W92" s="53">
        <v>1485</v>
      </c>
      <c r="X92" s="53">
        <v>1485</v>
      </c>
      <c r="Y92" s="53">
        <v>1.1000000000000001</v>
      </c>
      <c r="Z92" s="53" t="s">
        <v>139</v>
      </c>
      <c r="AA92" s="53">
        <v>2021</v>
      </c>
      <c r="AB92" s="53">
        <v>1</v>
      </c>
      <c r="AC92" s="53">
        <v>1</v>
      </c>
      <c r="AD92" s="53">
        <v>1</v>
      </c>
      <c r="AE92" s="53">
        <v>1</v>
      </c>
      <c r="AF92" s="53">
        <v>0</v>
      </c>
      <c r="AG92" s="53">
        <v>2</v>
      </c>
      <c r="AH92" s="53">
        <v>2021</v>
      </c>
      <c r="AI92" s="53" t="s">
        <v>324</v>
      </c>
      <c r="AJ92" s="53" t="s">
        <v>325</v>
      </c>
    </row>
    <row r="93" spans="1:36" hidden="1" x14ac:dyDescent="0.35">
      <c r="A93" s="53">
        <v>53063004900</v>
      </c>
      <c r="B93" s="69">
        <v>0</v>
      </c>
      <c r="C93" s="70" t="s">
        <v>139</v>
      </c>
      <c r="D93" s="71">
        <v>0</v>
      </c>
      <c r="E93" s="53" t="s">
        <v>65</v>
      </c>
      <c r="F93" s="53">
        <v>2680</v>
      </c>
      <c r="G93" s="53">
        <v>81487</v>
      </c>
      <c r="H93" s="53" t="s">
        <v>152</v>
      </c>
      <c r="I93" s="53">
        <v>117.4</v>
      </c>
      <c r="J93" s="53">
        <v>195</v>
      </c>
      <c r="K93" s="53">
        <v>19.3</v>
      </c>
      <c r="L93" s="53">
        <v>100.5</v>
      </c>
      <c r="M93" s="53">
        <v>230.5</v>
      </c>
      <c r="N93" s="53">
        <v>132.54</v>
      </c>
      <c r="O93" s="53">
        <v>1.1000000000000001</v>
      </c>
      <c r="P93" s="53">
        <v>1.4</v>
      </c>
      <c r="Q93" s="53">
        <v>1.1000000000000001</v>
      </c>
      <c r="R93" s="53">
        <v>1.2</v>
      </c>
      <c r="S93" s="53">
        <v>1.26</v>
      </c>
      <c r="T93" s="53">
        <v>2647</v>
      </c>
      <c r="U93" s="53">
        <v>2656</v>
      </c>
      <c r="V93" s="53">
        <v>2663</v>
      </c>
      <c r="W93" s="53">
        <v>2445</v>
      </c>
      <c r="X93" s="53">
        <v>2445</v>
      </c>
      <c r="Y93" s="53">
        <v>1.5</v>
      </c>
      <c r="Z93" s="53" t="s">
        <v>139</v>
      </c>
      <c r="AA93" s="53">
        <v>2021</v>
      </c>
      <c r="AB93" s="53">
        <v>3</v>
      </c>
      <c r="AC93" s="53">
        <v>3</v>
      </c>
      <c r="AD93" s="53">
        <v>6</v>
      </c>
      <c r="AE93" s="53">
        <v>2</v>
      </c>
      <c r="AF93" s="53">
        <v>0</v>
      </c>
      <c r="AG93" s="53">
        <v>8</v>
      </c>
      <c r="AH93" s="53">
        <v>2021</v>
      </c>
      <c r="AI93" s="53" t="s">
        <v>326</v>
      </c>
      <c r="AJ93" s="53" t="s">
        <v>327</v>
      </c>
    </row>
    <row r="94" spans="1:36" x14ac:dyDescent="0.35">
      <c r="A94" s="53">
        <v>53065950700</v>
      </c>
      <c r="B94" s="69">
        <v>0</v>
      </c>
      <c r="C94" s="70" t="s">
        <v>139</v>
      </c>
      <c r="D94" s="71">
        <v>0</v>
      </c>
      <c r="E94" s="53" t="s">
        <v>66</v>
      </c>
      <c r="F94" s="53">
        <v>137</v>
      </c>
      <c r="G94" s="53">
        <v>32036</v>
      </c>
      <c r="H94" s="53" t="s">
        <v>135</v>
      </c>
      <c r="I94" s="53">
        <v>181.7</v>
      </c>
      <c r="J94" s="53">
        <v>44.9</v>
      </c>
      <c r="K94" s="53">
        <v>220.1</v>
      </c>
      <c r="L94" s="53">
        <v>220.1</v>
      </c>
      <c r="M94" s="53">
        <v>172.1</v>
      </c>
      <c r="N94" s="53">
        <v>167.78</v>
      </c>
      <c r="O94" s="53">
        <v>1.2</v>
      </c>
      <c r="P94" s="53">
        <v>3.4</v>
      </c>
      <c r="Q94" s="53">
        <v>2.9</v>
      </c>
      <c r="R94" s="53">
        <v>2.9</v>
      </c>
      <c r="S94" s="53">
        <v>2.42</v>
      </c>
      <c r="T94" s="53">
        <v>135</v>
      </c>
      <c r="U94" s="53">
        <v>134</v>
      </c>
      <c r="V94" s="53">
        <v>135</v>
      </c>
      <c r="W94" s="53">
        <v>134</v>
      </c>
      <c r="X94" s="53">
        <v>134</v>
      </c>
      <c r="Y94" s="53">
        <v>1.7</v>
      </c>
      <c r="Z94" s="53" t="s">
        <v>139</v>
      </c>
      <c r="AA94" s="53">
        <v>2021</v>
      </c>
      <c r="AB94" s="53">
        <v>2</v>
      </c>
      <c r="AC94" s="53">
        <v>2</v>
      </c>
      <c r="AD94" s="53">
        <v>6</v>
      </c>
      <c r="AE94" s="53">
        <v>6</v>
      </c>
      <c r="AF94" s="53">
        <v>0</v>
      </c>
      <c r="AG94" s="53">
        <v>12</v>
      </c>
      <c r="AH94" s="53">
        <v>2021</v>
      </c>
      <c r="AI94" s="53" t="s">
        <v>328</v>
      </c>
      <c r="AJ94" s="53" t="s">
        <v>329</v>
      </c>
    </row>
    <row r="95" spans="1:36" hidden="1" x14ac:dyDescent="0.35">
      <c r="A95" s="53">
        <v>53003960500</v>
      </c>
      <c r="B95" s="69">
        <v>0</v>
      </c>
      <c r="C95" s="70" t="s">
        <v>139</v>
      </c>
      <c r="D95" s="71">
        <v>0</v>
      </c>
      <c r="E95" s="53" t="s">
        <v>62</v>
      </c>
      <c r="F95" s="53">
        <v>1602</v>
      </c>
      <c r="G95" s="53">
        <v>41849</v>
      </c>
      <c r="H95" s="53" t="s">
        <v>166</v>
      </c>
      <c r="I95" s="53">
        <v>102.5</v>
      </c>
      <c r="J95" s="53">
        <v>76.8</v>
      </c>
      <c r="K95" s="53">
        <v>44.3</v>
      </c>
      <c r="L95" s="53">
        <v>91.5</v>
      </c>
      <c r="M95" s="53">
        <v>92.3</v>
      </c>
      <c r="N95" s="53">
        <v>81.48</v>
      </c>
      <c r="O95" s="53">
        <v>1.2</v>
      </c>
      <c r="P95" s="53">
        <v>1.1000000000000001</v>
      </c>
      <c r="Q95" s="53">
        <v>1.8</v>
      </c>
      <c r="R95" s="53">
        <v>2.2999999999999998</v>
      </c>
      <c r="S95" s="53">
        <v>1.66</v>
      </c>
      <c r="T95" s="53">
        <v>1631</v>
      </c>
      <c r="U95" s="53">
        <v>1590</v>
      </c>
      <c r="V95" s="53">
        <v>1588</v>
      </c>
      <c r="W95" s="53">
        <v>1585</v>
      </c>
      <c r="X95" s="53">
        <v>1585</v>
      </c>
      <c r="Y95" s="53">
        <v>1.9</v>
      </c>
      <c r="Z95" s="53" t="s">
        <v>139</v>
      </c>
      <c r="AA95" s="53">
        <v>2021</v>
      </c>
      <c r="AB95" s="53">
        <v>6</v>
      </c>
      <c r="AC95" s="53">
        <v>6</v>
      </c>
      <c r="AD95" s="53">
        <v>6</v>
      </c>
      <c r="AE95" s="53">
        <v>7</v>
      </c>
      <c r="AF95" s="53">
        <v>0</v>
      </c>
      <c r="AG95" s="53">
        <v>13</v>
      </c>
      <c r="AH95" s="53">
        <v>2021</v>
      </c>
      <c r="AI95" s="53" t="s">
        <v>330</v>
      </c>
      <c r="AJ95" s="53" t="s">
        <v>331</v>
      </c>
    </row>
    <row r="96" spans="1:36" hidden="1" x14ac:dyDescent="0.35">
      <c r="A96" s="53">
        <v>53063013600</v>
      </c>
      <c r="B96" s="69">
        <v>0</v>
      </c>
      <c r="C96" s="70" t="s">
        <v>139</v>
      </c>
      <c r="D96" s="71">
        <v>0</v>
      </c>
      <c r="E96" s="53" t="s">
        <v>65</v>
      </c>
      <c r="F96" s="53">
        <v>1409</v>
      </c>
      <c r="G96" s="53">
        <v>68309</v>
      </c>
      <c r="H96" s="53" t="s">
        <v>152</v>
      </c>
      <c r="I96" s="53">
        <v>160.19999999999999</v>
      </c>
      <c r="J96" s="53">
        <v>497.6</v>
      </c>
      <c r="K96" s="53">
        <v>177</v>
      </c>
      <c r="L96" s="53">
        <v>176.5</v>
      </c>
      <c r="M96" s="53">
        <v>176.5</v>
      </c>
      <c r="N96" s="53">
        <v>237.56</v>
      </c>
      <c r="O96" s="53">
        <v>1.3</v>
      </c>
      <c r="P96" s="53">
        <v>1.1000000000000001</v>
      </c>
      <c r="Q96" s="53">
        <v>1.1000000000000001</v>
      </c>
      <c r="R96" s="53">
        <v>1.1000000000000001</v>
      </c>
      <c r="S96" s="53">
        <v>1.1399999999999999</v>
      </c>
      <c r="T96" s="53">
        <v>1347</v>
      </c>
      <c r="U96" s="53">
        <v>1353</v>
      </c>
      <c r="V96" s="53">
        <v>1361</v>
      </c>
      <c r="W96" s="53">
        <v>506</v>
      </c>
      <c r="X96" s="53">
        <v>506</v>
      </c>
      <c r="Y96" s="53">
        <v>1.1000000000000001</v>
      </c>
      <c r="Z96" s="53" t="s">
        <v>139</v>
      </c>
      <c r="AA96" s="53">
        <v>2021</v>
      </c>
      <c r="AB96" s="53">
        <v>6</v>
      </c>
      <c r="AC96" s="53">
        <v>6</v>
      </c>
      <c r="AD96" s="53">
        <v>6</v>
      </c>
      <c r="AE96" s="53">
        <v>4</v>
      </c>
      <c r="AF96" s="53">
        <v>0</v>
      </c>
      <c r="AG96" s="53">
        <v>10</v>
      </c>
      <c r="AH96" s="53">
        <v>2021</v>
      </c>
      <c r="AI96" s="53" t="s">
        <v>332</v>
      </c>
      <c r="AJ96" s="53" t="s">
        <v>333</v>
      </c>
    </row>
    <row r="97" spans="1:36" hidden="1" x14ac:dyDescent="0.35">
      <c r="A97" s="53">
        <v>53065950500</v>
      </c>
      <c r="B97" s="69">
        <v>0</v>
      </c>
      <c r="C97" s="70" t="s">
        <v>139</v>
      </c>
      <c r="D97" s="71">
        <v>0</v>
      </c>
      <c r="E97" s="53" t="s">
        <v>66</v>
      </c>
      <c r="F97" s="53">
        <v>1341</v>
      </c>
      <c r="G97" s="53">
        <v>47750</v>
      </c>
      <c r="H97" s="53" t="s">
        <v>152</v>
      </c>
      <c r="I97" s="53">
        <v>121</v>
      </c>
      <c r="J97" s="53">
        <v>120.5</v>
      </c>
      <c r="K97" s="53">
        <v>101</v>
      </c>
      <c r="L97" s="53">
        <v>183.6</v>
      </c>
      <c r="M97" s="53">
        <v>199.1</v>
      </c>
      <c r="N97" s="53">
        <v>145.04</v>
      </c>
      <c r="O97" s="53">
        <v>4</v>
      </c>
      <c r="P97" s="53">
        <v>1.1000000000000001</v>
      </c>
      <c r="Q97" s="53">
        <v>1.5</v>
      </c>
      <c r="R97" s="53">
        <v>1.4</v>
      </c>
      <c r="S97" s="53">
        <v>1.98</v>
      </c>
      <c r="T97" s="53">
        <v>1312</v>
      </c>
      <c r="U97" s="53">
        <v>1308</v>
      </c>
      <c r="V97" s="53">
        <v>1324</v>
      </c>
      <c r="W97" s="53">
        <v>1321</v>
      </c>
      <c r="X97" s="53">
        <v>1321</v>
      </c>
      <c r="Y97" s="53">
        <v>1.9</v>
      </c>
      <c r="Z97" s="53" t="s">
        <v>139</v>
      </c>
      <c r="AA97" s="53">
        <v>2021</v>
      </c>
      <c r="AB97" s="53">
        <v>2</v>
      </c>
      <c r="AC97" s="53">
        <v>2</v>
      </c>
      <c r="AD97" s="53">
        <v>3</v>
      </c>
      <c r="AE97" s="53">
        <v>5</v>
      </c>
      <c r="AF97" s="53">
        <v>0</v>
      </c>
      <c r="AG97" s="53">
        <v>8</v>
      </c>
      <c r="AH97" s="53">
        <v>2021</v>
      </c>
      <c r="AI97" s="53" t="s">
        <v>334</v>
      </c>
      <c r="AJ97" s="53" t="s">
        <v>335</v>
      </c>
    </row>
    <row r="98" spans="1:36" hidden="1" x14ac:dyDescent="0.35">
      <c r="A98" s="53">
        <v>53063011000</v>
      </c>
      <c r="B98" s="69">
        <v>0</v>
      </c>
      <c r="C98" s="70" t="s">
        <v>139</v>
      </c>
      <c r="D98" s="71">
        <v>0</v>
      </c>
      <c r="E98" s="53" t="s">
        <v>65</v>
      </c>
      <c r="F98" s="53">
        <v>1788</v>
      </c>
      <c r="G98" s="53">
        <v>61689</v>
      </c>
      <c r="H98" s="53" t="s">
        <v>138</v>
      </c>
      <c r="I98" s="53">
        <v>136.5</v>
      </c>
      <c r="J98" s="53">
        <v>128.30000000000001</v>
      </c>
      <c r="K98" s="53">
        <v>173.6</v>
      </c>
      <c r="L98" s="53">
        <v>127.7</v>
      </c>
      <c r="M98" s="53">
        <v>262.8</v>
      </c>
      <c r="N98" s="53">
        <v>165.78</v>
      </c>
      <c r="O98" s="53">
        <v>1.7</v>
      </c>
      <c r="P98" s="53">
        <v>1.1000000000000001</v>
      </c>
      <c r="Q98" s="53">
        <v>1.4</v>
      </c>
      <c r="R98" s="53">
        <v>1.1000000000000001</v>
      </c>
      <c r="S98" s="53">
        <v>1.48</v>
      </c>
      <c r="T98" s="53">
        <v>1743</v>
      </c>
      <c r="U98" s="53">
        <v>1748</v>
      </c>
      <c r="V98" s="53">
        <v>1745</v>
      </c>
      <c r="W98" s="53">
        <v>1613</v>
      </c>
      <c r="X98" s="53">
        <v>1613</v>
      </c>
      <c r="Y98" s="53">
        <v>2.1</v>
      </c>
      <c r="Z98" s="53" t="s">
        <v>139</v>
      </c>
      <c r="AA98" s="53">
        <v>2021</v>
      </c>
      <c r="AB98" s="53">
        <v>7</v>
      </c>
      <c r="AC98" s="53">
        <v>7</v>
      </c>
      <c r="AD98" s="53">
        <v>6</v>
      </c>
      <c r="AE98" s="53">
        <v>1</v>
      </c>
      <c r="AF98" s="53">
        <v>0</v>
      </c>
      <c r="AG98" s="53">
        <v>7</v>
      </c>
      <c r="AH98" s="53">
        <v>2021</v>
      </c>
      <c r="AI98" s="53" t="s">
        <v>336</v>
      </c>
      <c r="AJ98" s="53" t="s">
        <v>337</v>
      </c>
    </row>
    <row r="99" spans="1:36" hidden="1" x14ac:dyDescent="0.35">
      <c r="A99" s="53">
        <v>53063011600</v>
      </c>
      <c r="B99" s="69">
        <v>0</v>
      </c>
      <c r="C99" s="70" t="s">
        <v>139</v>
      </c>
      <c r="D99" s="71">
        <v>0</v>
      </c>
      <c r="E99" s="53" t="s">
        <v>65</v>
      </c>
      <c r="F99" s="53">
        <v>1033</v>
      </c>
      <c r="G99" s="53">
        <v>60563</v>
      </c>
      <c r="H99" s="53" t="s">
        <v>166</v>
      </c>
      <c r="I99" s="53">
        <v>79.7</v>
      </c>
      <c r="J99" s="53">
        <v>72.5</v>
      </c>
      <c r="K99" s="53">
        <v>115.9</v>
      </c>
      <c r="L99" s="53">
        <v>31.6</v>
      </c>
      <c r="M99" s="53">
        <v>31.6</v>
      </c>
      <c r="N99" s="53">
        <v>66.260000000000019</v>
      </c>
      <c r="O99" s="53">
        <v>1</v>
      </c>
      <c r="P99" s="53">
        <v>1.3</v>
      </c>
      <c r="Q99" s="53">
        <v>1.7</v>
      </c>
      <c r="R99" s="53">
        <v>1.6</v>
      </c>
      <c r="S99" s="53">
        <v>1.44</v>
      </c>
      <c r="T99" s="53">
        <v>989</v>
      </c>
      <c r="U99" s="53">
        <v>990</v>
      </c>
      <c r="V99" s="53">
        <v>993</v>
      </c>
      <c r="W99" s="53">
        <v>992</v>
      </c>
      <c r="X99" s="53">
        <v>992</v>
      </c>
      <c r="Y99" s="53">
        <v>1.6</v>
      </c>
      <c r="Z99" s="53" t="s">
        <v>139</v>
      </c>
      <c r="AA99" s="53">
        <v>2021</v>
      </c>
      <c r="AB99" s="53">
        <v>5</v>
      </c>
      <c r="AC99" s="53">
        <v>5</v>
      </c>
      <c r="AD99" s="53">
        <v>3</v>
      </c>
      <c r="AE99" s="53">
        <v>2</v>
      </c>
      <c r="AF99" s="53">
        <v>0</v>
      </c>
      <c r="AG99" s="53">
        <v>5</v>
      </c>
      <c r="AH99" s="53">
        <v>2021</v>
      </c>
      <c r="AI99" s="53" t="s">
        <v>338</v>
      </c>
      <c r="AJ99" s="53" t="s">
        <v>339</v>
      </c>
    </row>
    <row r="100" spans="1:36" hidden="1" x14ac:dyDescent="0.35">
      <c r="A100" s="53">
        <v>53063013000</v>
      </c>
      <c r="B100" s="69">
        <v>0</v>
      </c>
      <c r="C100" s="70" t="s">
        <v>139</v>
      </c>
      <c r="D100" s="71">
        <v>0</v>
      </c>
      <c r="E100" s="53" t="s">
        <v>65</v>
      </c>
      <c r="F100" s="53">
        <v>515</v>
      </c>
      <c r="G100" s="53">
        <v>58663</v>
      </c>
      <c r="H100" s="53" t="s">
        <v>152</v>
      </c>
      <c r="I100" s="53">
        <v>28.8</v>
      </c>
      <c r="J100" s="53">
        <v>255.1</v>
      </c>
      <c r="K100" s="53">
        <v>120.8</v>
      </c>
      <c r="L100" s="53">
        <v>188.4</v>
      </c>
      <c r="M100" s="53">
        <v>46.2</v>
      </c>
      <c r="N100" s="53">
        <v>127.86</v>
      </c>
      <c r="O100" s="53">
        <v>1</v>
      </c>
      <c r="P100" s="53">
        <v>1.8</v>
      </c>
      <c r="Q100" s="53">
        <v>1</v>
      </c>
      <c r="R100" s="53">
        <v>1</v>
      </c>
      <c r="S100" s="53">
        <v>1.1599999999999999</v>
      </c>
      <c r="T100" s="53">
        <v>514</v>
      </c>
      <c r="U100" s="53">
        <v>514</v>
      </c>
      <c r="V100" s="53">
        <v>515</v>
      </c>
      <c r="W100" s="53">
        <v>515</v>
      </c>
      <c r="X100" s="53">
        <v>515</v>
      </c>
      <c r="Y100" s="53">
        <v>1</v>
      </c>
      <c r="Z100" s="53" t="s">
        <v>139</v>
      </c>
      <c r="AA100" s="53">
        <v>2021</v>
      </c>
      <c r="AB100" s="53">
        <v>6</v>
      </c>
      <c r="AC100" s="53">
        <v>6</v>
      </c>
      <c r="AD100" s="53">
        <v>6</v>
      </c>
      <c r="AE100" s="53">
        <v>5</v>
      </c>
      <c r="AF100" s="53">
        <v>0</v>
      </c>
      <c r="AG100" s="53">
        <v>11</v>
      </c>
      <c r="AH100" s="53">
        <v>2021</v>
      </c>
      <c r="AI100" s="53" t="s">
        <v>340</v>
      </c>
      <c r="AJ100" s="53" t="s">
        <v>341</v>
      </c>
    </row>
    <row r="101" spans="1:36" hidden="1" x14ac:dyDescent="0.35">
      <c r="A101" s="53">
        <v>53063004300</v>
      </c>
      <c r="B101" s="69">
        <v>0</v>
      </c>
      <c r="C101" s="70" t="s">
        <v>139</v>
      </c>
      <c r="D101" s="71">
        <v>0</v>
      </c>
      <c r="E101" s="53" t="s">
        <v>65</v>
      </c>
      <c r="F101" s="53">
        <v>1578</v>
      </c>
      <c r="G101" s="53">
        <v>87917</v>
      </c>
      <c r="H101" s="53" t="s">
        <v>138</v>
      </c>
      <c r="I101" s="53">
        <v>210.9</v>
      </c>
      <c r="J101" s="53">
        <v>150.80000000000001</v>
      </c>
      <c r="K101" s="53">
        <v>47.4</v>
      </c>
      <c r="L101" s="53">
        <v>143.6</v>
      </c>
      <c r="M101" s="53">
        <v>117.2</v>
      </c>
      <c r="N101" s="53">
        <v>133.97999999999999</v>
      </c>
      <c r="O101" s="53">
        <v>1</v>
      </c>
      <c r="P101" s="53">
        <v>1</v>
      </c>
      <c r="Q101" s="53">
        <v>2</v>
      </c>
      <c r="R101" s="53">
        <v>1</v>
      </c>
      <c r="S101" s="53">
        <v>1.3</v>
      </c>
      <c r="T101" s="53">
        <v>1564</v>
      </c>
      <c r="U101" s="53">
        <v>1569</v>
      </c>
      <c r="V101" s="53">
        <v>1576</v>
      </c>
      <c r="W101" s="53">
        <v>1367</v>
      </c>
      <c r="X101" s="53">
        <v>1367</v>
      </c>
      <c r="Y101" s="53">
        <v>1.5</v>
      </c>
      <c r="Z101" s="53" t="s">
        <v>139</v>
      </c>
      <c r="AA101" s="53">
        <v>2021</v>
      </c>
      <c r="AB101" s="53">
        <v>3</v>
      </c>
      <c r="AC101" s="53">
        <v>3</v>
      </c>
      <c r="AD101" s="53">
        <v>3</v>
      </c>
      <c r="AE101" s="53">
        <v>1</v>
      </c>
      <c r="AF101" s="53">
        <v>0</v>
      </c>
      <c r="AG101" s="53">
        <v>4</v>
      </c>
      <c r="AH101" s="53">
        <v>2021</v>
      </c>
      <c r="AI101" s="53" t="s">
        <v>342</v>
      </c>
      <c r="AJ101" s="53" t="s">
        <v>343</v>
      </c>
    </row>
    <row r="102" spans="1:36" hidden="1" x14ac:dyDescent="0.35">
      <c r="A102" s="53">
        <v>53003960200</v>
      </c>
      <c r="B102" s="69">
        <v>0</v>
      </c>
      <c r="C102" s="70" t="s">
        <v>139</v>
      </c>
      <c r="D102" s="71">
        <v>0</v>
      </c>
      <c r="E102" s="53" t="s">
        <v>62</v>
      </c>
      <c r="F102" s="53">
        <v>2602</v>
      </c>
      <c r="G102" s="53">
        <v>52295</v>
      </c>
      <c r="H102" s="53" t="s">
        <v>152</v>
      </c>
      <c r="I102" s="53">
        <v>189.7</v>
      </c>
      <c r="J102" s="53">
        <v>130.4</v>
      </c>
      <c r="K102" s="53">
        <v>184.2</v>
      </c>
      <c r="L102" s="53">
        <v>314.60000000000002</v>
      </c>
      <c r="M102" s="53">
        <v>148.6</v>
      </c>
      <c r="N102" s="53">
        <v>193.5</v>
      </c>
      <c r="O102" s="53">
        <v>1.1000000000000001</v>
      </c>
      <c r="P102" s="53">
        <v>1.3</v>
      </c>
      <c r="Q102" s="53">
        <v>1.3</v>
      </c>
      <c r="R102" s="53">
        <v>1.7</v>
      </c>
      <c r="S102" s="53">
        <v>1.38</v>
      </c>
      <c r="T102" s="53">
        <v>2492</v>
      </c>
      <c r="U102" s="53">
        <v>2496</v>
      </c>
      <c r="V102" s="53">
        <v>2509</v>
      </c>
      <c r="W102" s="53">
        <v>2504</v>
      </c>
      <c r="X102" s="53">
        <v>2504</v>
      </c>
      <c r="Y102" s="53">
        <v>1.5</v>
      </c>
      <c r="Z102" s="53" t="s">
        <v>139</v>
      </c>
      <c r="AA102" s="53">
        <v>2021</v>
      </c>
      <c r="AB102" s="53">
        <v>2</v>
      </c>
      <c r="AC102" s="53">
        <v>2</v>
      </c>
      <c r="AD102" s="53">
        <v>3</v>
      </c>
      <c r="AE102" s="53">
        <v>1</v>
      </c>
      <c r="AF102" s="53">
        <v>0</v>
      </c>
      <c r="AG102" s="53">
        <v>4</v>
      </c>
      <c r="AH102" s="53">
        <v>2021</v>
      </c>
      <c r="AI102" s="53" t="s">
        <v>344</v>
      </c>
      <c r="AJ102" s="53" t="s">
        <v>345</v>
      </c>
    </row>
    <row r="103" spans="1:36" x14ac:dyDescent="0.35">
      <c r="A103" s="53">
        <v>53063014100</v>
      </c>
      <c r="B103" s="69">
        <v>0</v>
      </c>
      <c r="C103" s="70" t="s">
        <v>139</v>
      </c>
      <c r="D103" s="71">
        <v>0</v>
      </c>
      <c r="E103" s="53" t="s">
        <v>65</v>
      </c>
      <c r="F103" s="53">
        <v>1026</v>
      </c>
      <c r="G103" s="53">
        <v>72607</v>
      </c>
      <c r="H103" s="53" t="s">
        <v>135</v>
      </c>
      <c r="I103" s="53">
        <v>599.6</v>
      </c>
      <c r="J103" s="53">
        <v>341</v>
      </c>
      <c r="K103" s="53">
        <v>257.7</v>
      </c>
      <c r="L103" s="53">
        <v>141</v>
      </c>
      <c r="M103" s="53">
        <v>135.69999999999999</v>
      </c>
      <c r="N103" s="53">
        <v>295</v>
      </c>
      <c r="O103" s="53">
        <v>1.3</v>
      </c>
      <c r="P103" s="53">
        <v>1.2</v>
      </c>
      <c r="Q103" s="53">
        <v>1.5</v>
      </c>
      <c r="R103" s="53">
        <v>1.3</v>
      </c>
      <c r="S103" s="53">
        <v>1.56</v>
      </c>
      <c r="T103" s="53">
        <v>995</v>
      </c>
      <c r="U103" s="53">
        <v>993</v>
      </c>
      <c r="V103" s="53">
        <v>999</v>
      </c>
      <c r="W103" s="53">
        <v>987</v>
      </c>
      <c r="X103" s="53">
        <v>987</v>
      </c>
      <c r="Y103" s="53">
        <v>2.5</v>
      </c>
      <c r="Z103" s="53" t="s">
        <v>139</v>
      </c>
      <c r="AA103" s="53">
        <v>2021</v>
      </c>
      <c r="AB103" s="53">
        <v>5</v>
      </c>
      <c r="AC103" s="53">
        <v>5</v>
      </c>
      <c r="AD103" s="53">
        <v>7</v>
      </c>
      <c r="AE103" s="53">
        <v>2</v>
      </c>
      <c r="AF103" s="53">
        <v>0</v>
      </c>
      <c r="AG103" s="53">
        <v>9</v>
      </c>
      <c r="AH103" s="53">
        <v>2021</v>
      </c>
      <c r="AI103" s="53" t="s">
        <v>346</v>
      </c>
      <c r="AJ103" s="53" t="s">
        <v>347</v>
      </c>
    </row>
    <row r="104" spans="1:36" hidden="1" x14ac:dyDescent="0.35">
      <c r="A104" s="53">
        <v>53063012801</v>
      </c>
      <c r="B104" s="69">
        <v>0</v>
      </c>
      <c r="C104" s="70" t="s">
        <v>139</v>
      </c>
      <c r="D104" s="71">
        <v>0</v>
      </c>
      <c r="E104" s="53" t="s">
        <v>65</v>
      </c>
      <c r="F104" s="53">
        <v>1368</v>
      </c>
      <c r="G104" s="53">
        <v>58868</v>
      </c>
      <c r="H104" s="53" t="s">
        <v>166</v>
      </c>
      <c r="I104" s="53">
        <v>21.4</v>
      </c>
      <c r="J104" s="53">
        <v>162.80000000000001</v>
      </c>
      <c r="K104" s="53">
        <v>105.6</v>
      </c>
      <c r="L104" s="53">
        <v>84.6</v>
      </c>
      <c r="M104" s="53">
        <v>126.8</v>
      </c>
      <c r="N104" s="53">
        <v>100.24</v>
      </c>
      <c r="O104" s="53">
        <v>1</v>
      </c>
      <c r="P104" s="53">
        <v>2.2000000000000002</v>
      </c>
      <c r="Q104" s="53">
        <v>1</v>
      </c>
      <c r="R104" s="53">
        <v>1.3</v>
      </c>
      <c r="S104" s="53">
        <v>1.44</v>
      </c>
      <c r="T104" s="53">
        <v>1362</v>
      </c>
      <c r="U104" s="53">
        <v>1363</v>
      </c>
      <c r="V104" s="53">
        <v>1366</v>
      </c>
      <c r="W104" s="53">
        <v>1357</v>
      </c>
      <c r="X104" s="53">
        <v>1357</v>
      </c>
      <c r="Y104" s="53">
        <v>1.7</v>
      </c>
      <c r="Z104" s="53" t="s">
        <v>139</v>
      </c>
      <c r="AA104" s="53">
        <v>2021</v>
      </c>
      <c r="AB104" s="53">
        <v>1</v>
      </c>
      <c r="AC104" s="53">
        <v>1</v>
      </c>
      <c r="AD104" s="53">
        <v>1</v>
      </c>
      <c r="AE104" s="53">
        <v>3</v>
      </c>
      <c r="AF104" s="53">
        <v>0</v>
      </c>
      <c r="AG104" s="53">
        <v>4</v>
      </c>
      <c r="AH104" s="53">
        <v>2021</v>
      </c>
      <c r="AI104" s="53" t="s">
        <v>348</v>
      </c>
      <c r="AJ104" s="53" t="s">
        <v>349</v>
      </c>
    </row>
    <row r="105" spans="1:36" hidden="1" x14ac:dyDescent="0.35">
      <c r="A105" s="53">
        <v>53063004700</v>
      </c>
      <c r="B105" s="69">
        <v>0</v>
      </c>
      <c r="C105" s="70" t="s">
        <v>139</v>
      </c>
      <c r="D105" s="71">
        <v>0</v>
      </c>
      <c r="E105" s="53" t="s">
        <v>65</v>
      </c>
      <c r="F105" s="53">
        <v>3186</v>
      </c>
      <c r="G105" s="53">
        <v>61350</v>
      </c>
      <c r="H105" s="53" t="s">
        <v>152</v>
      </c>
      <c r="I105" s="53">
        <v>55</v>
      </c>
      <c r="J105" s="53">
        <v>177.7</v>
      </c>
      <c r="K105" s="53">
        <v>37.6</v>
      </c>
      <c r="L105" s="53">
        <v>129.30000000000001</v>
      </c>
      <c r="M105" s="53">
        <v>285.39999999999998</v>
      </c>
      <c r="N105" s="53">
        <v>137</v>
      </c>
      <c r="O105" s="53">
        <v>1</v>
      </c>
      <c r="P105" s="53">
        <v>1.1000000000000001</v>
      </c>
      <c r="Q105" s="53">
        <v>1.3</v>
      </c>
      <c r="R105" s="53">
        <v>1.3</v>
      </c>
      <c r="S105" s="53">
        <v>1.1599999999999999</v>
      </c>
      <c r="T105" s="53">
        <v>3128</v>
      </c>
      <c r="U105" s="53">
        <v>3133</v>
      </c>
      <c r="V105" s="53">
        <v>3139</v>
      </c>
      <c r="W105" s="53">
        <v>1975</v>
      </c>
      <c r="X105" s="53">
        <v>1975</v>
      </c>
      <c r="Y105" s="53">
        <v>1.1000000000000001</v>
      </c>
      <c r="Z105" s="53" t="s">
        <v>139</v>
      </c>
      <c r="AA105" s="53">
        <v>2021</v>
      </c>
      <c r="AB105" s="53">
        <v>5</v>
      </c>
      <c r="AC105" s="53">
        <v>5</v>
      </c>
      <c r="AD105" s="53">
        <v>5</v>
      </c>
      <c r="AE105" s="53">
        <v>6</v>
      </c>
      <c r="AF105" s="53">
        <v>0</v>
      </c>
      <c r="AG105" s="53">
        <v>11</v>
      </c>
      <c r="AH105" s="53">
        <v>2021</v>
      </c>
      <c r="AI105" s="53" t="s">
        <v>350</v>
      </c>
      <c r="AJ105" s="53" t="s">
        <v>351</v>
      </c>
    </row>
    <row r="106" spans="1:36" hidden="1" x14ac:dyDescent="0.35">
      <c r="A106" s="53">
        <v>53063010501</v>
      </c>
      <c r="B106" s="69">
        <v>0</v>
      </c>
      <c r="C106" s="70" t="s">
        <v>139</v>
      </c>
      <c r="D106" s="71">
        <v>0</v>
      </c>
      <c r="E106" s="53" t="s">
        <v>65</v>
      </c>
      <c r="F106" s="53">
        <v>3940</v>
      </c>
      <c r="G106" s="53">
        <v>62870</v>
      </c>
      <c r="H106" s="53" t="s">
        <v>152</v>
      </c>
      <c r="I106" s="53">
        <v>112.7</v>
      </c>
      <c r="J106" s="53">
        <v>266.89999999999998</v>
      </c>
      <c r="K106" s="53">
        <v>221.9</v>
      </c>
      <c r="L106" s="53">
        <v>122.8</v>
      </c>
      <c r="M106" s="53">
        <v>330.9</v>
      </c>
      <c r="N106" s="53">
        <v>211.04</v>
      </c>
      <c r="O106" s="53">
        <v>1.3</v>
      </c>
      <c r="P106" s="53">
        <v>2.1</v>
      </c>
      <c r="Q106" s="53">
        <v>1.3</v>
      </c>
      <c r="R106" s="53">
        <v>1.3</v>
      </c>
      <c r="S106" s="53">
        <v>1.48</v>
      </c>
      <c r="T106" s="53">
        <v>3777</v>
      </c>
      <c r="U106" s="53">
        <v>3805</v>
      </c>
      <c r="V106" s="53">
        <v>3861</v>
      </c>
      <c r="W106" s="53">
        <v>3840</v>
      </c>
      <c r="X106" s="53">
        <v>3840</v>
      </c>
      <c r="Y106" s="53">
        <v>1.4</v>
      </c>
      <c r="Z106" s="53" t="s">
        <v>139</v>
      </c>
      <c r="AA106" s="53">
        <v>2021</v>
      </c>
      <c r="AB106" s="53">
        <v>5</v>
      </c>
      <c r="AC106" s="53">
        <v>5</v>
      </c>
      <c r="AD106" s="53">
        <v>3</v>
      </c>
      <c r="AE106" s="53">
        <v>2</v>
      </c>
      <c r="AF106" s="53">
        <v>0</v>
      </c>
      <c r="AG106" s="53">
        <v>5</v>
      </c>
      <c r="AH106" s="53">
        <v>2021</v>
      </c>
      <c r="AI106" s="53" t="s">
        <v>352</v>
      </c>
      <c r="AJ106" s="53" t="s">
        <v>353</v>
      </c>
    </row>
    <row r="107" spans="1:36" x14ac:dyDescent="0.35">
      <c r="A107" s="53">
        <v>53075000900</v>
      </c>
      <c r="B107" s="69">
        <v>0</v>
      </c>
      <c r="C107" s="70" t="s">
        <v>139</v>
      </c>
      <c r="D107" s="71">
        <v>0</v>
      </c>
      <c r="E107" s="53" t="s">
        <v>67</v>
      </c>
      <c r="F107" s="53">
        <v>1925</v>
      </c>
      <c r="G107" s="53">
        <v>51858</v>
      </c>
      <c r="H107" s="53" t="s">
        <v>135</v>
      </c>
      <c r="I107" s="53">
        <v>245.5</v>
      </c>
      <c r="J107" s="53">
        <v>97.7</v>
      </c>
      <c r="K107" s="53">
        <v>98.6</v>
      </c>
      <c r="L107" s="53">
        <v>98.6</v>
      </c>
      <c r="M107" s="53">
        <v>115.9</v>
      </c>
      <c r="N107" s="53">
        <v>131.26</v>
      </c>
      <c r="O107" s="53">
        <v>2.4</v>
      </c>
      <c r="P107" s="53">
        <v>1</v>
      </c>
      <c r="Q107" s="53">
        <v>1.4</v>
      </c>
      <c r="R107" s="53">
        <v>1.4</v>
      </c>
      <c r="S107" s="53">
        <v>1.88</v>
      </c>
      <c r="T107" s="53">
        <v>1991</v>
      </c>
      <c r="U107" s="53">
        <v>1975</v>
      </c>
      <c r="V107" s="53">
        <v>1980</v>
      </c>
      <c r="W107" s="53">
        <v>1947</v>
      </c>
      <c r="X107" s="53">
        <v>1947</v>
      </c>
      <c r="Y107" s="53">
        <v>3.2</v>
      </c>
      <c r="Z107" s="53" t="s">
        <v>139</v>
      </c>
      <c r="AA107" s="53">
        <v>2021</v>
      </c>
      <c r="AB107" s="53">
        <v>5</v>
      </c>
      <c r="AC107" s="53">
        <v>5</v>
      </c>
      <c r="AD107" s="53">
        <v>6</v>
      </c>
      <c r="AE107" s="53">
        <v>4</v>
      </c>
      <c r="AF107" s="53">
        <v>0</v>
      </c>
      <c r="AG107" s="53">
        <v>10</v>
      </c>
      <c r="AH107" s="53">
        <v>2021</v>
      </c>
      <c r="AI107" s="53" t="s">
        <v>354</v>
      </c>
      <c r="AJ107" s="53" t="s">
        <v>355</v>
      </c>
    </row>
    <row r="108" spans="1:36" hidden="1" x14ac:dyDescent="0.35">
      <c r="A108" s="53">
        <v>53063013300</v>
      </c>
      <c r="B108" s="69">
        <v>0</v>
      </c>
      <c r="C108" s="70" t="s">
        <v>139</v>
      </c>
      <c r="D108" s="71">
        <v>0</v>
      </c>
      <c r="E108" s="53" t="s">
        <v>65</v>
      </c>
      <c r="F108" s="53">
        <v>210</v>
      </c>
      <c r="G108" s="53">
        <v>79628</v>
      </c>
      <c r="H108" s="53" t="s">
        <v>152</v>
      </c>
      <c r="I108" s="53">
        <v>279.60000000000002</v>
      </c>
      <c r="J108" s="53">
        <v>209.8</v>
      </c>
      <c r="K108" s="53">
        <v>142.9</v>
      </c>
      <c r="L108" s="53">
        <v>136.30000000000001</v>
      </c>
      <c r="M108" s="53">
        <v>210.6</v>
      </c>
      <c r="N108" s="53">
        <v>195.84</v>
      </c>
      <c r="O108" s="53">
        <v>2.9</v>
      </c>
      <c r="P108" s="53">
        <v>1.5</v>
      </c>
      <c r="Q108" s="53">
        <v>1.5</v>
      </c>
      <c r="R108" s="53">
        <v>1.6</v>
      </c>
      <c r="S108" s="53">
        <v>1.96</v>
      </c>
      <c r="T108" s="53">
        <v>198</v>
      </c>
      <c r="U108" s="53">
        <v>199</v>
      </c>
      <c r="V108" s="53">
        <v>182</v>
      </c>
      <c r="W108" s="53">
        <v>202</v>
      </c>
      <c r="X108" s="53">
        <v>202</v>
      </c>
      <c r="Y108" s="53">
        <v>2.2999999999999998</v>
      </c>
      <c r="Z108" s="53" t="s">
        <v>139</v>
      </c>
      <c r="AA108" s="53">
        <v>2021</v>
      </c>
      <c r="AB108" s="53">
        <v>3</v>
      </c>
      <c r="AC108" s="53">
        <v>3</v>
      </c>
      <c r="AD108" s="53">
        <v>6</v>
      </c>
      <c r="AE108" s="53">
        <v>3</v>
      </c>
      <c r="AF108" s="53">
        <v>0</v>
      </c>
      <c r="AG108" s="53">
        <v>9</v>
      </c>
      <c r="AH108" s="53">
        <v>2021</v>
      </c>
      <c r="AI108" s="53" t="s">
        <v>356</v>
      </c>
      <c r="AJ108" s="53" t="s">
        <v>357</v>
      </c>
    </row>
    <row r="109" spans="1:36" x14ac:dyDescent="0.35">
      <c r="A109" s="53">
        <v>53043960300</v>
      </c>
      <c r="B109" s="69">
        <v>0</v>
      </c>
      <c r="C109" s="70" t="s">
        <v>139</v>
      </c>
      <c r="D109" s="71">
        <v>0</v>
      </c>
      <c r="E109" s="53" t="s">
        <v>64</v>
      </c>
      <c r="F109" s="53">
        <v>1322</v>
      </c>
      <c r="G109" s="53">
        <v>49961</v>
      </c>
      <c r="H109" s="53" t="s">
        <v>135</v>
      </c>
      <c r="I109" s="53">
        <v>168.4</v>
      </c>
      <c r="J109" s="53">
        <v>256.89999999999998</v>
      </c>
      <c r="K109" s="53">
        <v>300</v>
      </c>
      <c r="L109" s="53">
        <v>223.5</v>
      </c>
      <c r="M109" s="53">
        <v>168.5</v>
      </c>
      <c r="N109" s="53">
        <v>223.46</v>
      </c>
      <c r="O109" s="53">
        <v>2.5</v>
      </c>
      <c r="P109" s="53">
        <v>1.8</v>
      </c>
      <c r="Q109" s="53">
        <v>1.6</v>
      </c>
      <c r="R109" s="53">
        <v>1.2</v>
      </c>
      <c r="S109" s="53">
        <v>1.88</v>
      </c>
      <c r="T109" s="53">
        <v>1332</v>
      </c>
      <c r="U109" s="53">
        <v>1327</v>
      </c>
      <c r="V109" s="53">
        <v>1326</v>
      </c>
      <c r="W109" s="53">
        <v>1323</v>
      </c>
      <c r="X109" s="53">
        <v>1323</v>
      </c>
      <c r="Y109" s="53">
        <v>2.2999999999999998</v>
      </c>
      <c r="Z109" s="53" t="s">
        <v>134</v>
      </c>
      <c r="AA109" s="53">
        <v>2021</v>
      </c>
      <c r="AB109" s="53">
        <v>3</v>
      </c>
      <c r="AC109" s="53">
        <v>3</v>
      </c>
      <c r="AD109" s="53">
        <v>7</v>
      </c>
      <c r="AE109" s="53">
        <v>3</v>
      </c>
      <c r="AF109" s="53">
        <v>0</v>
      </c>
      <c r="AG109" s="53">
        <v>10</v>
      </c>
      <c r="AH109" s="53">
        <v>2021</v>
      </c>
      <c r="AI109" s="53" t="s">
        <v>358</v>
      </c>
      <c r="AJ109" s="53" t="s">
        <v>359</v>
      </c>
    </row>
    <row r="110" spans="1:36" x14ac:dyDescent="0.35">
      <c r="A110" s="53">
        <v>53063010305</v>
      </c>
      <c r="B110" s="69">
        <v>0</v>
      </c>
      <c r="C110" s="70" t="s">
        <v>139</v>
      </c>
      <c r="D110" s="71">
        <v>0</v>
      </c>
      <c r="E110" s="53" t="s">
        <v>65</v>
      </c>
      <c r="F110" s="53">
        <v>2256</v>
      </c>
      <c r="G110" s="53">
        <v>85485</v>
      </c>
      <c r="H110" s="53" t="s">
        <v>135</v>
      </c>
      <c r="I110" s="53">
        <v>194.6</v>
      </c>
      <c r="J110" s="53">
        <v>284.89999999999998</v>
      </c>
      <c r="K110" s="53">
        <v>221.7</v>
      </c>
      <c r="L110" s="53">
        <v>142.1</v>
      </c>
      <c r="M110" s="53">
        <v>163.30000000000001</v>
      </c>
      <c r="N110" s="53">
        <v>201.32</v>
      </c>
      <c r="O110" s="53">
        <v>2.5</v>
      </c>
      <c r="P110" s="53">
        <v>1.8</v>
      </c>
      <c r="Q110" s="53">
        <v>1.3</v>
      </c>
      <c r="R110" s="53">
        <v>1.2</v>
      </c>
      <c r="S110" s="53">
        <v>1.64</v>
      </c>
      <c r="T110" s="53">
        <v>2010</v>
      </c>
      <c r="U110" s="53">
        <v>2047</v>
      </c>
      <c r="V110" s="53">
        <v>2045</v>
      </c>
      <c r="W110" s="53">
        <v>1064</v>
      </c>
      <c r="X110" s="53">
        <v>1064</v>
      </c>
      <c r="Y110" s="53">
        <v>1.4</v>
      </c>
      <c r="Z110" s="53" t="s">
        <v>139</v>
      </c>
      <c r="AA110" s="53">
        <v>2021</v>
      </c>
      <c r="AB110" s="53">
        <v>2</v>
      </c>
      <c r="AC110" s="53">
        <v>2</v>
      </c>
      <c r="AD110" s="53">
        <v>3</v>
      </c>
      <c r="AE110" s="53">
        <v>2</v>
      </c>
      <c r="AF110" s="53">
        <v>0</v>
      </c>
      <c r="AG110" s="53">
        <v>5</v>
      </c>
      <c r="AH110" s="53">
        <v>2021</v>
      </c>
      <c r="AI110" s="53" t="s">
        <v>360</v>
      </c>
      <c r="AJ110" s="53" t="s">
        <v>361</v>
      </c>
    </row>
    <row r="111" spans="1:36" hidden="1" x14ac:dyDescent="0.35">
      <c r="A111" s="53">
        <v>53063005000</v>
      </c>
      <c r="B111" s="69">
        <v>0</v>
      </c>
      <c r="C111" s="70" t="s">
        <v>139</v>
      </c>
      <c r="D111" s="71">
        <v>0</v>
      </c>
      <c r="E111" s="53" t="s">
        <v>65</v>
      </c>
      <c r="F111" s="53">
        <v>2202</v>
      </c>
      <c r="G111" s="53">
        <v>55111</v>
      </c>
      <c r="H111" s="53" t="s">
        <v>152</v>
      </c>
      <c r="I111" s="53">
        <v>69.400000000000006</v>
      </c>
      <c r="J111" s="53">
        <v>202.7</v>
      </c>
      <c r="K111" s="53">
        <v>46.7</v>
      </c>
      <c r="L111" s="53">
        <v>395</v>
      </c>
      <c r="M111" s="53">
        <v>194.3</v>
      </c>
      <c r="N111" s="53">
        <v>181.62</v>
      </c>
      <c r="O111" s="53">
        <v>1.5</v>
      </c>
      <c r="P111" s="53">
        <v>1.4</v>
      </c>
      <c r="Q111" s="53">
        <v>1.2</v>
      </c>
      <c r="R111" s="53">
        <v>1</v>
      </c>
      <c r="S111" s="53">
        <v>1.3</v>
      </c>
      <c r="T111" s="53">
        <v>2132</v>
      </c>
      <c r="U111" s="53">
        <v>2157</v>
      </c>
      <c r="V111" s="53">
        <v>2195</v>
      </c>
      <c r="W111" s="53">
        <v>1553</v>
      </c>
      <c r="X111" s="53">
        <v>1553</v>
      </c>
      <c r="Y111" s="53">
        <v>1.4</v>
      </c>
      <c r="Z111" s="53" t="s">
        <v>139</v>
      </c>
      <c r="AA111" s="53">
        <v>2021</v>
      </c>
      <c r="AB111" s="53">
        <v>4</v>
      </c>
      <c r="AC111" s="53">
        <v>4</v>
      </c>
      <c r="AD111" s="53">
        <v>7</v>
      </c>
      <c r="AE111" s="53">
        <v>4</v>
      </c>
      <c r="AF111" s="53">
        <v>0</v>
      </c>
      <c r="AG111" s="53">
        <v>11</v>
      </c>
      <c r="AH111" s="53">
        <v>2021</v>
      </c>
      <c r="AI111" s="53" t="s">
        <v>362</v>
      </c>
      <c r="AJ111" s="53" t="s">
        <v>363</v>
      </c>
    </row>
    <row r="112" spans="1:36" hidden="1" x14ac:dyDescent="0.35">
      <c r="A112" s="53">
        <v>53063012600</v>
      </c>
      <c r="B112" s="69">
        <v>0</v>
      </c>
      <c r="C112" s="70" t="s">
        <v>139</v>
      </c>
      <c r="D112" s="71">
        <v>0</v>
      </c>
      <c r="E112" s="53" t="s">
        <v>65</v>
      </c>
      <c r="F112" s="53">
        <v>704</v>
      </c>
      <c r="G112" s="53">
        <v>61277</v>
      </c>
      <c r="H112" s="53" t="s">
        <v>166</v>
      </c>
      <c r="I112" s="53">
        <v>235.1</v>
      </c>
      <c r="J112" s="53">
        <v>89.1</v>
      </c>
      <c r="K112" s="53">
        <v>108.5</v>
      </c>
      <c r="L112" s="53">
        <v>85.3</v>
      </c>
      <c r="M112" s="53">
        <v>157.69999999999999</v>
      </c>
      <c r="N112" s="53">
        <v>135.13999999999999</v>
      </c>
      <c r="O112" s="53">
        <v>1.1000000000000001</v>
      </c>
      <c r="P112" s="53">
        <v>1.4</v>
      </c>
      <c r="Q112" s="53">
        <v>1</v>
      </c>
      <c r="R112" s="53">
        <v>2.6</v>
      </c>
      <c r="S112" s="53">
        <v>1.5</v>
      </c>
      <c r="T112" s="53">
        <v>668</v>
      </c>
      <c r="U112" s="53">
        <v>667</v>
      </c>
      <c r="V112" s="53">
        <v>681</v>
      </c>
      <c r="W112" s="53">
        <v>680</v>
      </c>
      <c r="X112" s="53">
        <v>680</v>
      </c>
      <c r="Y112" s="53">
        <v>1.4</v>
      </c>
      <c r="Z112" s="53" t="s">
        <v>139</v>
      </c>
      <c r="AA112" s="53">
        <v>2021</v>
      </c>
      <c r="AB112" s="53">
        <v>5</v>
      </c>
      <c r="AC112" s="53">
        <v>5</v>
      </c>
      <c r="AD112" s="53">
        <v>2</v>
      </c>
      <c r="AE112" s="53">
        <v>5</v>
      </c>
      <c r="AF112" s="53">
        <v>0</v>
      </c>
      <c r="AG112" s="53">
        <v>7</v>
      </c>
      <c r="AH112" s="53">
        <v>2021</v>
      </c>
      <c r="AI112" s="53" t="s">
        <v>364</v>
      </c>
      <c r="AJ112" s="53" t="s">
        <v>365</v>
      </c>
    </row>
    <row r="113" spans="1:36" hidden="1" x14ac:dyDescent="0.35">
      <c r="A113" s="53">
        <v>53063011300</v>
      </c>
      <c r="B113" s="69">
        <v>0</v>
      </c>
      <c r="C113" s="70" t="s">
        <v>139</v>
      </c>
      <c r="D113" s="71">
        <v>0</v>
      </c>
      <c r="E113" s="53" t="s">
        <v>65</v>
      </c>
      <c r="F113" s="53">
        <v>3774</v>
      </c>
      <c r="G113" s="53">
        <v>80074</v>
      </c>
      <c r="H113" s="53" t="s">
        <v>152</v>
      </c>
      <c r="I113" s="53">
        <v>212.3</v>
      </c>
      <c r="J113" s="53">
        <v>70.7</v>
      </c>
      <c r="K113" s="53">
        <v>192.7</v>
      </c>
      <c r="L113" s="53">
        <v>143.4</v>
      </c>
      <c r="M113" s="53">
        <v>156.69999999999999</v>
      </c>
      <c r="N113" s="53">
        <v>155.16</v>
      </c>
      <c r="O113" s="53">
        <v>1.3</v>
      </c>
      <c r="P113" s="53">
        <v>2</v>
      </c>
      <c r="Q113" s="53">
        <v>2.2999999999999998</v>
      </c>
      <c r="R113" s="53">
        <v>1</v>
      </c>
      <c r="S113" s="53">
        <v>1.78</v>
      </c>
      <c r="T113" s="53">
        <v>3505</v>
      </c>
      <c r="U113" s="53">
        <v>3543</v>
      </c>
      <c r="V113" s="53">
        <v>3633</v>
      </c>
      <c r="W113" s="53">
        <v>3624</v>
      </c>
      <c r="X113" s="53">
        <v>3624</v>
      </c>
      <c r="Y113" s="53">
        <v>2.2999999999999998</v>
      </c>
      <c r="Z113" s="53" t="s">
        <v>139</v>
      </c>
      <c r="AA113" s="53">
        <v>2021</v>
      </c>
      <c r="AB113" s="53">
        <v>3</v>
      </c>
      <c r="AC113" s="53">
        <v>3</v>
      </c>
      <c r="AD113" s="53">
        <v>2</v>
      </c>
      <c r="AE113" s="53">
        <v>3</v>
      </c>
      <c r="AF113" s="53">
        <v>0</v>
      </c>
      <c r="AG113" s="53">
        <v>5</v>
      </c>
      <c r="AH113" s="53">
        <v>2021</v>
      </c>
      <c r="AI113" s="53" t="s">
        <v>366</v>
      </c>
      <c r="AJ113" s="53" t="s">
        <v>367</v>
      </c>
    </row>
    <row r="114" spans="1:36" hidden="1" x14ac:dyDescent="0.35">
      <c r="A114" s="53">
        <v>53063013700</v>
      </c>
      <c r="B114" s="69">
        <v>0</v>
      </c>
      <c r="C114" s="70" t="s">
        <v>139</v>
      </c>
      <c r="D114" s="71">
        <v>0</v>
      </c>
      <c r="E114" s="53" t="s">
        <v>65</v>
      </c>
      <c r="F114" s="53">
        <v>1922</v>
      </c>
      <c r="G114" s="53">
        <v>60500</v>
      </c>
      <c r="H114" s="53" t="s">
        <v>152</v>
      </c>
      <c r="I114" s="53">
        <v>230.9</v>
      </c>
      <c r="J114" s="53">
        <v>120.2</v>
      </c>
      <c r="K114" s="53">
        <v>139.30000000000001</v>
      </c>
      <c r="L114" s="53">
        <v>231.5</v>
      </c>
      <c r="M114" s="53">
        <v>266.8</v>
      </c>
      <c r="N114" s="53">
        <v>197.74</v>
      </c>
      <c r="O114" s="53">
        <v>1</v>
      </c>
      <c r="P114" s="53">
        <v>1.1000000000000001</v>
      </c>
      <c r="Q114" s="53">
        <v>1</v>
      </c>
      <c r="R114" s="53">
        <v>1.4</v>
      </c>
      <c r="S114" s="53">
        <v>1.1200000000000001</v>
      </c>
      <c r="T114" s="53">
        <v>1744</v>
      </c>
      <c r="U114" s="53">
        <v>1767</v>
      </c>
      <c r="V114" s="53">
        <v>1804</v>
      </c>
      <c r="W114" s="53">
        <v>512</v>
      </c>
      <c r="X114" s="53">
        <v>512</v>
      </c>
      <c r="Y114" s="53">
        <v>1.1000000000000001</v>
      </c>
      <c r="Z114" s="53" t="s">
        <v>139</v>
      </c>
      <c r="AA114" s="53">
        <v>2021</v>
      </c>
      <c r="AB114" s="53">
        <v>5</v>
      </c>
      <c r="AC114" s="53">
        <v>5</v>
      </c>
      <c r="AD114" s="53">
        <v>3</v>
      </c>
      <c r="AE114" s="53">
        <v>5</v>
      </c>
      <c r="AF114" s="53">
        <v>0</v>
      </c>
      <c r="AG114" s="53">
        <v>8</v>
      </c>
      <c r="AH114" s="53">
        <v>2021</v>
      </c>
      <c r="AI114" s="53" t="s">
        <v>368</v>
      </c>
      <c r="AJ114" s="53" t="s">
        <v>369</v>
      </c>
    </row>
    <row r="115" spans="1:36" x14ac:dyDescent="0.35">
      <c r="A115" s="53">
        <v>53063013900</v>
      </c>
      <c r="B115" s="69">
        <v>0</v>
      </c>
      <c r="C115" s="70" t="s">
        <v>139</v>
      </c>
      <c r="D115" s="71">
        <v>0</v>
      </c>
      <c r="E115" s="53" t="s">
        <v>65</v>
      </c>
      <c r="F115" s="53">
        <v>2128</v>
      </c>
      <c r="G115" s="53">
        <v>60591</v>
      </c>
      <c r="H115" s="53" t="s">
        <v>135</v>
      </c>
      <c r="I115" s="53">
        <v>144.80000000000001</v>
      </c>
      <c r="J115" s="53">
        <v>212.3</v>
      </c>
      <c r="K115" s="53">
        <v>142.1</v>
      </c>
      <c r="L115" s="53">
        <v>153.4</v>
      </c>
      <c r="M115" s="53">
        <v>89.1</v>
      </c>
      <c r="N115" s="53">
        <v>148.34</v>
      </c>
      <c r="O115" s="53">
        <v>1.5</v>
      </c>
      <c r="P115" s="53">
        <v>1.2</v>
      </c>
      <c r="Q115" s="53">
        <v>1</v>
      </c>
      <c r="R115" s="53">
        <v>1.3</v>
      </c>
      <c r="S115" s="53">
        <v>1.22</v>
      </c>
      <c r="T115" s="53">
        <v>2106</v>
      </c>
      <c r="U115" s="53">
        <v>2098</v>
      </c>
      <c r="V115" s="53">
        <v>2111</v>
      </c>
      <c r="W115" s="53">
        <v>2106</v>
      </c>
      <c r="X115" s="53">
        <v>2106</v>
      </c>
      <c r="Y115" s="53">
        <v>1.1000000000000001</v>
      </c>
      <c r="Z115" s="53" t="s">
        <v>139</v>
      </c>
      <c r="AA115" s="53">
        <v>2021</v>
      </c>
      <c r="AB115" s="53">
        <v>1</v>
      </c>
      <c r="AC115" s="53">
        <v>1</v>
      </c>
      <c r="AD115" s="53">
        <v>2</v>
      </c>
      <c r="AE115" s="53">
        <v>5</v>
      </c>
      <c r="AF115" s="53">
        <v>0</v>
      </c>
      <c r="AG115" s="53">
        <v>7</v>
      </c>
      <c r="AH115" s="53">
        <v>2021</v>
      </c>
      <c r="AI115" s="53" t="s">
        <v>370</v>
      </c>
      <c r="AJ115" s="53" t="s">
        <v>371</v>
      </c>
    </row>
    <row r="116" spans="1:36" hidden="1" x14ac:dyDescent="0.35">
      <c r="A116" s="53">
        <v>53063000700</v>
      </c>
      <c r="B116" s="69">
        <v>0</v>
      </c>
      <c r="C116" s="70" t="s">
        <v>139</v>
      </c>
      <c r="D116" s="71">
        <v>0</v>
      </c>
      <c r="E116" s="53" t="s">
        <v>65</v>
      </c>
      <c r="F116" s="53">
        <v>2278</v>
      </c>
      <c r="G116" s="53">
        <v>46124</v>
      </c>
      <c r="H116" s="53" t="s">
        <v>166</v>
      </c>
      <c r="I116" s="53">
        <v>145.69999999999999</v>
      </c>
      <c r="J116" s="53">
        <v>235.3</v>
      </c>
      <c r="K116" s="53">
        <v>118.6</v>
      </c>
      <c r="L116" s="53">
        <v>155</v>
      </c>
      <c r="M116" s="53">
        <v>207.2</v>
      </c>
      <c r="N116" s="53">
        <v>172.36</v>
      </c>
      <c r="O116" s="53">
        <v>1.2</v>
      </c>
      <c r="P116" s="53">
        <v>1.1000000000000001</v>
      </c>
      <c r="Q116" s="53">
        <v>1.8</v>
      </c>
      <c r="R116" s="53">
        <v>1.1000000000000001</v>
      </c>
      <c r="S116" s="53">
        <v>1.28</v>
      </c>
      <c r="T116" s="53">
        <v>2270</v>
      </c>
      <c r="U116" s="53">
        <v>2270</v>
      </c>
      <c r="V116" s="53">
        <v>2272</v>
      </c>
      <c r="W116" s="53">
        <v>2256</v>
      </c>
      <c r="X116" s="53">
        <v>2256</v>
      </c>
      <c r="Y116" s="53">
        <v>1.2</v>
      </c>
      <c r="Z116" s="53" t="s">
        <v>139</v>
      </c>
      <c r="AA116" s="53">
        <v>2021</v>
      </c>
      <c r="AB116" s="53">
        <v>8</v>
      </c>
      <c r="AC116" s="53">
        <v>8</v>
      </c>
      <c r="AD116" s="53">
        <v>6</v>
      </c>
      <c r="AE116" s="53">
        <v>7</v>
      </c>
      <c r="AF116" s="53">
        <v>0</v>
      </c>
      <c r="AG116" s="53">
        <v>13</v>
      </c>
      <c r="AH116" s="53">
        <v>2021</v>
      </c>
      <c r="AI116" s="53" t="s">
        <v>372</v>
      </c>
      <c r="AJ116" s="53" t="s">
        <v>373</v>
      </c>
    </row>
    <row r="117" spans="1:36" hidden="1" x14ac:dyDescent="0.35">
      <c r="A117" s="53">
        <v>53063012802</v>
      </c>
      <c r="B117" s="69">
        <v>0</v>
      </c>
      <c r="C117" s="70" t="s">
        <v>139</v>
      </c>
      <c r="D117" s="71">
        <v>0</v>
      </c>
      <c r="E117" s="53" t="s">
        <v>65</v>
      </c>
      <c r="F117" s="53">
        <v>899</v>
      </c>
      <c r="G117" s="53">
        <v>62206</v>
      </c>
      <c r="H117" s="53" t="s">
        <v>152</v>
      </c>
      <c r="I117" s="53">
        <v>19</v>
      </c>
      <c r="J117" s="53">
        <v>167.6</v>
      </c>
      <c r="K117" s="53">
        <v>159.19999999999999</v>
      </c>
      <c r="L117" s="53">
        <v>112.7</v>
      </c>
      <c r="M117" s="53">
        <v>454.8</v>
      </c>
      <c r="N117" s="53">
        <v>182.66</v>
      </c>
      <c r="O117" s="53">
        <v>1</v>
      </c>
      <c r="P117" s="53">
        <v>2.2000000000000002</v>
      </c>
      <c r="Q117" s="53">
        <v>1</v>
      </c>
      <c r="R117" s="53">
        <v>1.7</v>
      </c>
      <c r="S117" s="53">
        <v>1.42</v>
      </c>
      <c r="T117" s="53">
        <v>888</v>
      </c>
      <c r="U117" s="53">
        <v>890</v>
      </c>
      <c r="V117" s="53">
        <v>890</v>
      </c>
      <c r="W117" s="53">
        <v>855</v>
      </c>
      <c r="X117" s="53">
        <v>855</v>
      </c>
      <c r="Y117" s="53">
        <v>1.2</v>
      </c>
      <c r="Z117" s="53" t="s">
        <v>139</v>
      </c>
      <c r="AA117" s="53">
        <v>2021</v>
      </c>
      <c r="AB117" s="53">
        <v>2</v>
      </c>
      <c r="AC117" s="53">
        <v>2</v>
      </c>
      <c r="AD117" s="53">
        <v>3</v>
      </c>
      <c r="AE117" s="53">
        <v>1</v>
      </c>
      <c r="AF117" s="53">
        <v>0</v>
      </c>
      <c r="AG117" s="53">
        <v>4</v>
      </c>
      <c r="AH117" s="53">
        <v>2021</v>
      </c>
      <c r="AI117" s="53" t="s">
        <v>374</v>
      </c>
      <c r="AJ117" s="53" t="s">
        <v>375</v>
      </c>
    </row>
    <row r="118" spans="1:36" hidden="1" x14ac:dyDescent="0.35">
      <c r="A118" s="53">
        <v>53063011400</v>
      </c>
      <c r="B118" s="69">
        <v>0</v>
      </c>
      <c r="C118" s="70" t="s">
        <v>139</v>
      </c>
      <c r="D118" s="71">
        <v>0</v>
      </c>
      <c r="E118" s="53" t="s">
        <v>65</v>
      </c>
      <c r="F118" s="53">
        <v>3130</v>
      </c>
      <c r="G118" s="53">
        <v>48750</v>
      </c>
      <c r="H118" s="53" t="s">
        <v>152</v>
      </c>
      <c r="I118" s="53">
        <v>235.6</v>
      </c>
      <c r="J118" s="53">
        <v>198.8</v>
      </c>
      <c r="K118" s="53">
        <v>101.9</v>
      </c>
      <c r="L118" s="53">
        <v>120.3</v>
      </c>
      <c r="M118" s="53">
        <v>169.4</v>
      </c>
      <c r="N118" s="53">
        <v>165.2</v>
      </c>
      <c r="O118" s="53">
        <v>1.2</v>
      </c>
      <c r="P118" s="53">
        <v>1.1000000000000001</v>
      </c>
      <c r="Q118" s="53">
        <v>1.4</v>
      </c>
      <c r="R118" s="53">
        <v>1.5</v>
      </c>
      <c r="S118" s="53">
        <v>1.3</v>
      </c>
      <c r="T118" s="53">
        <v>2889</v>
      </c>
      <c r="U118" s="53">
        <v>2893</v>
      </c>
      <c r="V118" s="53">
        <v>2929</v>
      </c>
      <c r="W118" s="53">
        <v>2885</v>
      </c>
      <c r="X118" s="53">
        <v>2885</v>
      </c>
      <c r="Y118" s="53">
        <v>1.3</v>
      </c>
      <c r="Z118" s="53" t="s">
        <v>139</v>
      </c>
      <c r="AA118" s="53">
        <v>2021</v>
      </c>
      <c r="AB118" s="53">
        <v>6</v>
      </c>
      <c r="AC118" s="53">
        <v>6</v>
      </c>
      <c r="AD118" s="53">
        <v>6</v>
      </c>
      <c r="AE118" s="53">
        <v>6</v>
      </c>
      <c r="AF118" s="53">
        <v>0</v>
      </c>
      <c r="AG118" s="53">
        <v>12</v>
      </c>
      <c r="AH118" s="53">
        <v>2021</v>
      </c>
      <c r="AI118" s="53" t="s">
        <v>376</v>
      </c>
      <c r="AJ118" s="53" t="s">
        <v>377</v>
      </c>
    </row>
    <row r="119" spans="1:36" hidden="1" x14ac:dyDescent="0.35">
      <c r="A119" s="53">
        <v>53063010601</v>
      </c>
      <c r="B119" s="69">
        <v>0</v>
      </c>
      <c r="C119" s="70" t="s">
        <v>139</v>
      </c>
      <c r="D119" s="71">
        <v>0</v>
      </c>
      <c r="E119" s="53" t="s">
        <v>65</v>
      </c>
      <c r="F119" s="53">
        <v>1556</v>
      </c>
      <c r="G119" s="53">
        <v>69598</v>
      </c>
      <c r="H119" s="53" t="s">
        <v>152</v>
      </c>
      <c r="I119" s="53">
        <v>167.1</v>
      </c>
      <c r="J119" s="53">
        <v>167.1</v>
      </c>
      <c r="K119" s="53">
        <v>280.10000000000002</v>
      </c>
      <c r="L119" s="53">
        <v>265.89999999999998</v>
      </c>
      <c r="M119" s="53">
        <v>68.900000000000006</v>
      </c>
      <c r="N119" s="53">
        <v>189.82</v>
      </c>
      <c r="O119" s="53">
        <v>1.6</v>
      </c>
      <c r="P119" s="53">
        <v>1.4</v>
      </c>
      <c r="Q119" s="53">
        <v>1</v>
      </c>
      <c r="R119" s="53">
        <v>1</v>
      </c>
      <c r="S119" s="53">
        <v>1.24</v>
      </c>
      <c r="T119" s="53">
        <v>1495</v>
      </c>
      <c r="U119" s="53">
        <v>1509</v>
      </c>
      <c r="V119" s="53">
        <v>1531</v>
      </c>
      <c r="W119" s="53">
        <v>1529</v>
      </c>
      <c r="X119" s="53">
        <v>1529</v>
      </c>
      <c r="Y119" s="53">
        <v>1.2</v>
      </c>
      <c r="Z119" s="53" t="s">
        <v>139</v>
      </c>
      <c r="AA119" s="53">
        <v>2021</v>
      </c>
      <c r="AB119" s="53">
        <v>4</v>
      </c>
      <c r="AC119" s="53">
        <v>4</v>
      </c>
      <c r="AD119" s="53">
        <v>6</v>
      </c>
      <c r="AE119" s="53">
        <v>1</v>
      </c>
      <c r="AF119" s="53">
        <v>0</v>
      </c>
      <c r="AG119" s="53">
        <v>7</v>
      </c>
      <c r="AH119" s="53">
        <v>2021</v>
      </c>
      <c r="AI119" s="53" t="s">
        <v>378</v>
      </c>
      <c r="AJ119" s="53" t="s">
        <v>379</v>
      </c>
    </row>
    <row r="120" spans="1:36" hidden="1" x14ac:dyDescent="0.35">
      <c r="A120" s="53">
        <v>53063013500</v>
      </c>
      <c r="B120" s="69">
        <v>0</v>
      </c>
      <c r="C120" s="70" t="s">
        <v>139</v>
      </c>
      <c r="D120" s="71">
        <v>0</v>
      </c>
      <c r="E120" s="53" t="s">
        <v>65</v>
      </c>
      <c r="F120" s="53">
        <v>1981</v>
      </c>
      <c r="G120" s="53">
        <v>97028</v>
      </c>
      <c r="H120" s="53" t="s">
        <v>152</v>
      </c>
      <c r="I120" s="53">
        <v>167.3</v>
      </c>
      <c r="J120" s="53">
        <v>507.2</v>
      </c>
      <c r="K120" s="53">
        <v>175</v>
      </c>
      <c r="L120" s="53">
        <v>137.1</v>
      </c>
      <c r="M120" s="53">
        <v>96.6</v>
      </c>
      <c r="N120" s="53">
        <v>216.64</v>
      </c>
      <c r="O120" s="53">
        <v>1.1000000000000001</v>
      </c>
      <c r="P120" s="53">
        <v>1.3</v>
      </c>
      <c r="Q120" s="53">
        <v>1.8</v>
      </c>
      <c r="R120" s="53">
        <v>1</v>
      </c>
      <c r="S120" s="53">
        <v>1.28</v>
      </c>
      <c r="T120" s="53">
        <v>1760</v>
      </c>
      <c r="U120" s="53">
        <v>1828</v>
      </c>
      <c r="V120" s="53">
        <v>1887</v>
      </c>
      <c r="W120" s="53">
        <v>1739</v>
      </c>
      <c r="X120" s="53">
        <v>1739</v>
      </c>
      <c r="Y120" s="53">
        <v>1.2</v>
      </c>
      <c r="Z120" s="53" t="s">
        <v>139</v>
      </c>
      <c r="AA120" s="53">
        <v>2021</v>
      </c>
      <c r="AB120" s="53">
        <v>1</v>
      </c>
      <c r="AC120" s="53">
        <v>1</v>
      </c>
      <c r="AD120" s="53">
        <v>2</v>
      </c>
      <c r="AE120" s="53">
        <v>3</v>
      </c>
      <c r="AF120" s="53">
        <v>0</v>
      </c>
      <c r="AG120" s="53">
        <v>5</v>
      </c>
      <c r="AH120" s="53">
        <v>2021</v>
      </c>
      <c r="AI120" s="53" t="s">
        <v>380</v>
      </c>
      <c r="AJ120" s="53" t="s">
        <v>381</v>
      </c>
    </row>
    <row r="121" spans="1:36" hidden="1" x14ac:dyDescent="0.35">
      <c r="A121" s="53">
        <v>53063012100</v>
      </c>
      <c r="B121" s="69">
        <v>0</v>
      </c>
      <c r="C121" s="70" t="s">
        <v>139</v>
      </c>
      <c r="D121" s="71">
        <v>0</v>
      </c>
      <c r="E121" s="53" t="s">
        <v>65</v>
      </c>
      <c r="F121" s="53">
        <v>1527</v>
      </c>
      <c r="G121" s="53">
        <v>46725</v>
      </c>
      <c r="H121" s="53" t="s">
        <v>166</v>
      </c>
      <c r="I121" s="53">
        <v>207.1</v>
      </c>
      <c r="J121" s="53">
        <v>281.7</v>
      </c>
      <c r="K121" s="53">
        <v>39.700000000000003</v>
      </c>
      <c r="L121" s="53">
        <v>85.6</v>
      </c>
      <c r="M121" s="53">
        <v>32.1</v>
      </c>
      <c r="N121" s="53">
        <v>129.24</v>
      </c>
      <c r="O121" s="53">
        <v>1.2</v>
      </c>
      <c r="P121" s="53">
        <v>1</v>
      </c>
      <c r="Q121" s="53">
        <v>1</v>
      </c>
      <c r="R121" s="53">
        <v>1.5</v>
      </c>
      <c r="S121" s="53">
        <v>1.1599999999999999</v>
      </c>
      <c r="T121" s="53">
        <v>1492</v>
      </c>
      <c r="U121" s="53">
        <v>1500</v>
      </c>
      <c r="V121" s="53">
        <v>1510</v>
      </c>
      <c r="W121" s="53">
        <v>1504</v>
      </c>
      <c r="X121" s="53">
        <v>1504</v>
      </c>
      <c r="Y121" s="53">
        <v>1.1000000000000001</v>
      </c>
      <c r="Z121" s="53" t="s">
        <v>139</v>
      </c>
      <c r="AA121" s="53">
        <v>2021</v>
      </c>
      <c r="AB121" s="53">
        <v>7</v>
      </c>
      <c r="AC121" s="53">
        <v>7</v>
      </c>
      <c r="AD121" s="53">
        <v>2</v>
      </c>
      <c r="AE121" s="53">
        <v>6</v>
      </c>
      <c r="AF121" s="53">
        <v>0</v>
      </c>
      <c r="AG121" s="53">
        <v>8</v>
      </c>
      <c r="AH121" s="53">
        <v>2021</v>
      </c>
      <c r="AI121" s="53" t="s">
        <v>382</v>
      </c>
      <c r="AJ121" s="53" t="s">
        <v>383</v>
      </c>
    </row>
    <row r="122" spans="1:36" hidden="1" x14ac:dyDescent="0.35">
      <c r="A122" s="53">
        <v>53063012902</v>
      </c>
      <c r="B122" s="69">
        <v>0</v>
      </c>
      <c r="C122" s="70" t="s">
        <v>139</v>
      </c>
      <c r="D122" s="71">
        <v>0</v>
      </c>
      <c r="E122" s="53" t="s">
        <v>65</v>
      </c>
      <c r="G122" s="53">
        <v>56469</v>
      </c>
      <c r="T122" s="53">
        <v>0</v>
      </c>
      <c r="U122" s="53">
        <v>0</v>
      </c>
      <c r="V122" s="53">
        <v>0</v>
      </c>
      <c r="W122" s="53">
        <v>0</v>
      </c>
      <c r="X122" s="53">
        <v>0</v>
      </c>
      <c r="Y122" s="53">
        <v>0</v>
      </c>
      <c r="Z122" s="53" t="s">
        <v>139</v>
      </c>
      <c r="AA122" s="53">
        <v>2021</v>
      </c>
      <c r="AB122" s="53">
        <v>4</v>
      </c>
      <c r="AC122" s="53">
        <v>4</v>
      </c>
      <c r="AD122" s="53">
        <v>2</v>
      </c>
      <c r="AE122" s="53">
        <v>6</v>
      </c>
      <c r="AF122" s="53">
        <v>0</v>
      </c>
      <c r="AG122" s="53">
        <v>8</v>
      </c>
      <c r="AH122" s="53">
        <v>2021</v>
      </c>
      <c r="AI122" s="53" t="s">
        <v>384</v>
      </c>
      <c r="AJ122" s="53" t="s">
        <v>385</v>
      </c>
    </row>
    <row r="123" spans="1:36" x14ac:dyDescent="0.35">
      <c r="A123" s="53">
        <v>53065950600</v>
      </c>
      <c r="B123" s="69">
        <v>0</v>
      </c>
      <c r="C123" s="70" t="s">
        <v>139</v>
      </c>
      <c r="D123" s="71">
        <v>0</v>
      </c>
      <c r="E123" s="53" t="s">
        <v>66</v>
      </c>
      <c r="F123" s="53">
        <v>1697</v>
      </c>
      <c r="G123" s="53">
        <v>57004</v>
      </c>
      <c r="H123" s="53" t="s">
        <v>135</v>
      </c>
      <c r="I123" s="53">
        <v>398.1</v>
      </c>
      <c r="J123" s="53">
        <v>235.3</v>
      </c>
      <c r="K123" s="53">
        <v>339.4</v>
      </c>
      <c r="L123" s="53">
        <v>154.9</v>
      </c>
      <c r="M123" s="53">
        <v>204</v>
      </c>
      <c r="N123" s="53">
        <v>266.33999999999997</v>
      </c>
      <c r="O123" s="53">
        <v>7.6</v>
      </c>
      <c r="P123" s="53">
        <v>3</v>
      </c>
      <c r="Q123" s="53">
        <v>3.6</v>
      </c>
      <c r="R123" s="53">
        <v>3.2</v>
      </c>
      <c r="S123" s="53">
        <v>4.22</v>
      </c>
      <c r="T123" s="53">
        <v>1649</v>
      </c>
      <c r="U123" s="53">
        <v>1632</v>
      </c>
      <c r="V123" s="53">
        <v>1666</v>
      </c>
      <c r="W123" s="53">
        <v>1657</v>
      </c>
      <c r="X123" s="53">
        <v>1657</v>
      </c>
      <c r="Y123" s="53">
        <v>3.7</v>
      </c>
      <c r="Z123" s="53" t="s">
        <v>139</v>
      </c>
      <c r="AA123" s="53">
        <v>2021</v>
      </c>
      <c r="AB123" s="53">
        <v>3</v>
      </c>
      <c r="AC123" s="53">
        <v>3</v>
      </c>
      <c r="AD123" s="53">
        <v>8</v>
      </c>
      <c r="AE123" s="53">
        <v>3</v>
      </c>
      <c r="AF123" s="53">
        <v>1</v>
      </c>
      <c r="AG123" s="53">
        <v>11</v>
      </c>
      <c r="AH123" s="53">
        <v>2021</v>
      </c>
      <c r="AI123" s="53" t="s">
        <v>386</v>
      </c>
      <c r="AJ123" s="53" t="s">
        <v>387</v>
      </c>
    </row>
    <row r="124" spans="1:36" hidden="1" x14ac:dyDescent="0.35">
      <c r="A124" s="53">
        <v>53063011500</v>
      </c>
      <c r="B124" s="69">
        <v>0</v>
      </c>
      <c r="C124" s="70" t="s">
        <v>139</v>
      </c>
      <c r="D124" s="71">
        <v>0</v>
      </c>
      <c r="E124" s="53" t="s">
        <v>65</v>
      </c>
      <c r="F124" s="53">
        <v>671</v>
      </c>
      <c r="G124" s="53">
        <v>60556</v>
      </c>
      <c r="H124" s="53" t="s">
        <v>166</v>
      </c>
      <c r="I124" s="53">
        <v>79.900000000000006</v>
      </c>
      <c r="J124" s="53">
        <v>176.9</v>
      </c>
      <c r="K124" s="53">
        <v>114.5</v>
      </c>
      <c r="L124" s="53">
        <v>27.5</v>
      </c>
      <c r="M124" s="53">
        <v>27.5</v>
      </c>
      <c r="N124" s="53">
        <v>85.26</v>
      </c>
      <c r="O124" s="53">
        <v>1</v>
      </c>
      <c r="P124" s="53">
        <v>2</v>
      </c>
      <c r="Q124" s="53">
        <v>1.4</v>
      </c>
      <c r="R124" s="53">
        <v>1</v>
      </c>
      <c r="S124" s="53">
        <v>1.28</v>
      </c>
      <c r="T124" s="53">
        <v>656</v>
      </c>
      <c r="U124" s="53">
        <v>657</v>
      </c>
      <c r="V124" s="53">
        <v>667</v>
      </c>
      <c r="W124" s="53">
        <v>666</v>
      </c>
      <c r="X124" s="53">
        <v>666</v>
      </c>
      <c r="Y124" s="53">
        <v>1</v>
      </c>
      <c r="Z124" s="53" t="s">
        <v>139</v>
      </c>
      <c r="AA124" s="53">
        <v>2021</v>
      </c>
      <c r="AB124" s="53">
        <v>8</v>
      </c>
      <c r="AC124" s="53">
        <v>8</v>
      </c>
      <c r="AD124" s="53">
        <v>8</v>
      </c>
      <c r="AE124" s="53">
        <v>7</v>
      </c>
      <c r="AF124" s="53">
        <v>1</v>
      </c>
      <c r="AG124" s="53">
        <v>15</v>
      </c>
      <c r="AH124" s="53">
        <v>2021</v>
      </c>
      <c r="AI124" s="53" t="s">
        <v>388</v>
      </c>
      <c r="AJ124" s="53" t="s">
        <v>389</v>
      </c>
    </row>
    <row r="125" spans="1:36" hidden="1" x14ac:dyDescent="0.35">
      <c r="A125" s="53">
        <v>53075000100</v>
      </c>
      <c r="B125" s="69">
        <v>0</v>
      </c>
      <c r="C125" s="70" t="s">
        <v>139</v>
      </c>
      <c r="D125" s="71">
        <v>0</v>
      </c>
      <c r="E125" s="53" t="s">
        <v>67</v>
      </c>
      <c r="F125" s="53">
        <v>1644</v>
      </c>
      <c r="G125" s="53">
        <v>14023</v>
      </c>
      <c r="H125" s="53" t="s">
        <v>161</v>
      </c>
      <c r="I125" s="53">
        <v>160.19999999999999</v>
      </c>
      <c r="J125" s="53">
        <v>44.3</v>
      </c>
      <c r="K125" s="53">
        <v>121.5</v>
      </c>
      <c r="L125" s="53">
        <v>115.3</v>
      </c>
      <c r="M125" s="53">
        <v>215.1</v>
      </c>
      <c r="N125" s="53">
        <v>131.28</v>
      </c>
      <c r="O125" s="53">
        <v>1.3</v>
      </c>
      <c r="P125" s="53">
        <v>1.1000000000000001</v>
      </c>
      <c r="Q125" s="53">
        <v>1.1000000000000001</v>
      </c>
      <c r="R125" s="53">
        <v>1</v>
      </c>
      <c r="S125" s="53">
        <v>1.1599999999999999</v>
      </c>
      <c r="T125" s="53">
        <v>1620</v>
      </c>
      <c r="U125" s="53">
        <v>1589</v>
      </c>
      <c r="V125" s="53">
        <v>1622</v>
      </c>
      <c r="W125" s="53">
        <v>1609</v>
      </c>
      <c r="X125" s="53">
        <v>1609</v>
      </c>
      <c r="Y125" s="53">
        <v>1.3</v>
      </c>
      <c r="Z125" s="53" t="s">
        <v>139</v>
      </c>
      <c r="AA125" s="53">
        <v>2021</v>
      </c>
      <c r="AB125" s="53">
        <v>2</v>
      </c>
      <c r="AC125" s="53">
        <v>2</v>
      </c>
      <c r="AD125" s="53">
        <v>1</v>
      </c>
      <c r="AE125" s="53">
        <v>8</v>
      </c>
      <c r="AF125" s="53">
        <v>1</v>
      </c>
      <c r="AG125" s="53">
        <v>9</v>
      </c>
      <c r="AH125" s="53">
        <v>2021</v>
      </c>
      <c r="AI125" s="53" t="s">
        <v>390</v>
      </c>
      <c r="AJ125" s="53" t="s">
        <v>391</v>
      </c>
    </row>
    <row r="126" spans="1:36" hidden="1" x14ac:dyDescent="0.35">
      <c r="A126" s="53">
        <v>53063011900</v>
      </c>
      <c r="B126" s="69">
        <v>0</v>
      </c>
      <c r="C126" s="70" t="s">
        <v>139</v>
      </c>
      <c r="D126" s="71">
        <v>0</v>
      </c>
      <c r="E126" s="53" t="s">
        <v>65</v>
      </c>
      <c r="G126" s="53">
        <v>42277</v>
      </c>
      <c r="T126" s="53">
        <v>0</v>
      </c>
      <c r="U126" s="53">
        <v>0</v>
      </c>
      <c r="V126" s="53">
        <v>0</v>
      </c>
      <c r="W126" s="53">
        <v>0</v>
      </c>
      <c r="X126" s="53">
        <v>0</v>
      </c>
      <c r="Y126" s="53">
        <v>0</v>
      </c>
      <c r="Z126" s="53" t="s">
        <v>139</v>
      </c>
      <c r="AA126" s="53">
        <v>2021</v>
      </c>
      <c r="AB126" s="53">
        <v>8</v>
      </c>
      <c r="AC126" s="53">
        <v>8</v>
      </c>
      <c r="AD126" s="53">
        <v>4</v>
      </c>
      <c r="AE126" s="53">
        <v>8</v>
      </c>
      <c r="AF126" s="53">
        <v>1</v>
      </c>
      <c r="AG126" s="53">
        <v>12</v>
      </c>
      <c r="AH126" s="53">
        <v>2021</v>
      </c>
      <c r="AI126" s="53" t="s">
        <v>392</v>
      </c>
      <c r="AJ126" s="53" t="s">
        <v>393</v>
      </c>
    </row>
    <row r="127" spans="1:36" hidden="1" x14ac:dyDescent="0.35">
      <c r="A127" s="53">
        <v>53063013201</v>
      </c>
      <c r="B127" s="69">
        <v>0</v>
      </c>
      <c r="C127" s="70" t="s">
        <v>139</v>
      </c>
      <c r="D127" s="71">
        <v>0</v>
      </c>
      <c r="E127" s="53" t="s">
        <v>65</v>
      </c>
      <c r="F127" s="53">
        <v>3450</v>
      </c>
      <c r="G127" s="53">
        <v>70417</v>
      </c>
      <c r="H127" s="53" t="s">
        <v>152</v>
      </c>
      <c r="I127" s="53">
        <v>205.1</v>
      </c>
      <c r="J127" s="53">
        <v>139.30000000000001</v>
      </c>
      <c r="K127" s="53">
        <v>183.5</v>
      </c>
      <c r="L127" s="53">
        <v>191.7</v>
      </c>
      <c r="M127" s="53">
        <v>174</v>
      </c>
      <c r="N127" s="53">
        <v>178.72</v>
      </c>
      <c r="O127" s="53">
        <v>1.1000000000000001</v>
      </c>
      <c r="P127" s="53">
        <v>1.5</v>
      </c>
      <c r="Q127" s="53">
        <v>1</v>
      </c>
      <c r="R127" s="53">
        <v>1.5</v>
      </c>
      <c r="S127" s="53">
        <v>1.22</v>
      </c>
      <c r="T127" s="53">
        <v>3314</v>
      </c>
      <c r="U127" s="53">
        <v>3340</v>
      </c>
      <c r="V127" s="53">
        <v>3307</v>
      </c>
      <c r="W127" s="53">
        <v>2467</v>
      </c>
      <c r="X127" s="53">
        <v>2467</v>
      </c>
      <c r="Y127" s="53">
        <v>1</v>
      </c>
      <c r="Z127" s="53" t="s">
        <v>139</v>
      </c>
      <c r="AA127" s="53">
        <v>2021</v>
      </c>
      <c r="AB127" s="53">
        <v>7</v>
      </c>
      <c r="AC127" s="53">
        <v>7</v>
      </c>
      <c r="AD127" s="53">
        <v>8</v>
      </c>
      <c r="AE127" s="53">
        <v>3</v>
      </c>
      <c r="AF127" s="53">
        <v>1</v>
      </c>
      <c r="AG127" s="53">
        <v>11</v>
      </c>
      <c r="AH127" s="53">
        <v>2021</v>
      </c>
      <c r="AI127" s="53" t="s">
        <v>394</v>
      </c>
      <c r="AJ127" s="53" t="s">
        <v>395</v>
      </c>
    </row>
    <row r="128" spans="1:36" x14ac:dyDescent="0.35">
      <c r="A128" s="53">
        <v>53065951400</v>
      </c>
      <c r="B128" s="69">
        <v>0</v>
      </c>
      <c r="C128" s="70" t="s">
        <v>139</v>
      </c>
      <c r="D128" s="71">
        <v>0</v>
      </c>
      <c r="E128" s="53" t="s">
        <v>66</v>
      </c>
      <c r="F128" s="53">
        <v>555</v>
      </c>
      <c r="G128" s="53">
        <v>71086</v>
      </c>
      <c r="H128" s="53" t="s">
        <v>135</v>
      </c>
      <c r="I128" s="53">
        <v>319.89999999999998</v>
      </c>
      <c r="J128" s="53">
        <v>137.4</v>
      </c>
      <c r="K128" s="53">
        <v>337.8</v>
      </c>
      <c r="L128" s="53">
        <v>302.2</v>
      </c>
      <c r="M128" s="53">
        <v>160.69999999999999</v>
      </c>
      <c r="N128" s="53">
        <v>251.6</v>
      </c>
      <c r="O128" s="53">
        <v>3.6</v>
      </c>
      <c r="P128" s="53">
        <v>4</v>
      </c>
      <c r="Q128" s="53">
        <v>2.9</v>
      </c>
      <c r="R128" s="53">
        <v>2.6</v>
      </c>
      <c r="S128" s="53">
        <v>3.04</v>
      </c>
      <c r="T128" s="53">
        <v>525</v>
      </c>
      <c r="U128" s="53">
        <v>527</v>
      </c>
      <c r="V128" s="53">
        <v>524</v>
      </c>
      <c r="W128" s="53">
        <v>533</v>
      </c>
      <c r="X128" s="53">
        <v>533</v>
      </c>
      <c r="Y128" s="53">
        <v>2.1</v>
      </c>
      <c r="Z128" s="53" t="s">
        <v>134</v>
      </c>
      <c r="AA128" s="53">
        <v>2021</v>
      </c>
      <c r="AB128" s="53">
        <v>4</v>
      </c>
      <c r="AC128" s="53">
        <v>4</v>
      </c>
      <c r="AD128" s="53">
        <v>8</v>
      </c>
      <c r="AE128" s="53">
        <v>3</v>
      </c>
      <c r="AF128" s="53">
        <v>1</v>
      </c>
      <c r="AG128" s="53">
        <v>11</v>
      </c>
      <c r="AH128" s="53">
        <v>2021</v>
      </c>
      <c r="AI128" s="53" t="s">
        <v>396</v>
      </c>
      <c r="AJ128" s="53" t="s">
        <v>397</v>
      </c>
    </row>
    <row r="129" spans="1:36" x14ac:dyDescent="0.35">
      <c r="A129" s="53">
        <v>53063014300</v>
      </c>
      <c r="B129" s="69">
        <v>0</v>
      </c>
      <c r="C129" s="70" t="s">
        <v>139</v>
      </c>
      <c r="D129" s="71">
        <v>0</v>
      </c>
      <c r="E129" s="53" t="s">
        <v>65</v>
      </c>
      <c r="F129" s="53">
        <v>1358</v>
      </c>
      <c r="G129" s="53">
        <v>48796</v>
      </c>
      <c r="H129" s="53" t="s">
        <v>135</v>
      </c>
      <c r="I129" s="53">
        <v>233.9</v>
      </c>
      <c r="J129" s="53">
        <v>225.9</v>
      </c>
      <c r="K129" s="53">
        <v>194.2</v>
      </c>
      <c r="L129" s="53">
        <v>127</v>
      </c>
      <c r="M129" s="53">
        <v>100.1</v>
      </c>
      <c r="N129" s="53">
        <v>176.22</v>
      </c>
      <c r="O129" s="53">
        <v>1.4</v>
      </c>
      <c r="P129" s="53">
        <v>1.2</v>
      </c>
      <c r="Q129" s="53">
        <v>1.8</v>
      </c>
      <c r="R129" s="53">
        <v>1.6</v>
      </c>
      <c r="S129" s="53">
        <v>1.58</v>
      </c>
      <c r="T129" s="53">
        <v>1342</v>
      </c>
      <c r="U129" s="53">
        <v>1332</v>
      </c>
      <c r="V129" s="53">
        <v>1338</v>
      </c>
      <c r="W129" s="53">
        <v>1241</v>
      </c>
      <c r="X129" s="53">
        <v>1241</v>
      </c>
      <c r="Y129" s="53">
        <v>1.9</v>
      </c>
      <c r="Z129" s="53" t="s">
        <v>139</v>
      </c>
      <c r="AA129" s="53">
        <v>2021</v>
      </c>
      <c r="AB129" s="53">
        <v>4</v>
      </c>
      <c r="AC129" s="53">
        <v>4</v>
      </c>
      <c r="AD129" s="53">
        <v>8</v>
      </c>
      <c r="AE129" s="53">
        <v>3</v>
      </c>
      <c r="AF129" s="53">
        <v>1</v>
      </c>
      <c r="AG129" s="53">
        <v>11</v>
      </c>
      <c r="AH129" s="53">
        <v>2021</v>
      </c>
      <c r="AI129" s="53" t="s">
        <v>398</v>
      </c>
      <c r="AJ129" s="53" t="s">
        <v>399</v>
      </c>
    </row>
    <row r="130" spans="1:36" hidden="1" x14ac:dyDescent="0.35">
      <c r="A130" s="53">
        <v>53075000800</v>
      </c>
      <c r="B130" s="69">
        <v>0</v>
      </c>
      <c r="C130" s="70" t="s">
        <v>139</v>
      </c>
      <c r="D130" s="71">
        <v>0</v>
      </c>
      <c r="E130" s="53" t="s">
        <v>67</v>
      </c>
      <c r="F130" s="53">
        <v>1964</v>
      </c>
      <c r="G130" s="53">
        <v>52319</v>
      </c>
      <c r="H130" s="53" t="s">
        <v>152</v>
      </c>
      <c r="I130" s="53">
        <v>157.4</v>
      </c>
      <c r="J130" s="53">
        <v>254.5</v>
      </c>
      <c r="K130" s="53">
        <v>195.1</v>
      </c>
      <c r="L130" s="53">
        <v>115.4</v>
      </c>
      <c r="M130" s="53">
        <v>124.4</v>
      </c>
      <c r="N130" s="53">
        <v>169.36</v>
      </c>
      <c r="O130" s="53">
        <v>1.4</v>
      </c>
      <c r="P130" s="53">
        <v>3.9</v>
      </c>
      <c r="Q130" s="53">
        <v>1.4</v>
      </c>
      <c r="R130" s="53">
        <v>1.5</v>
      </c>
      <c r="S130" s="53">
        <v>1.98</v>
      </c>
      <c r="T130" s="53">
        <v>1963</v>
      </c>
      <c r="U130" s="53">
        <v>1947</v>
      </c>
      <c r="V130" s="53">
        <v>1955</v>
      </c>
      <c r="W130" s="53">
        <v>1946</v>
      </c>
      <c r="X130" s="53">
        <v>1946</v>
      </c>
      <c r="Y130" s="53">
        <v>1.7</v>
      </c>
      <c r="Z130" s="53" t="s">
        <v>139</v>
      </c>
      <c r="AA130" s="53">
        <v>2021</v>
      </c>
      <c r="AB130" s="53">
        <v>4</v>
      </c>
      <c r="AC130" s="53">
        <v>4</v>
      </c>
      <c r="AD130" s="53">
        <v>8</v>
      </c>
      <c r="AE130" s="53">
        <v>2</v>
      </c>
      <c r="AF130" s="53">
        <v>1</v>
      </c>
      <c r="AG130" s="53">
        <v>10</v>
      </c>
      <c r="AH130" s="53">
        <v>2021</v>
      </c>
      <c r="AI130" s="53" t="s">
        <v>400</v>
      </c>
      <c r="AJ130" s="53" t="s">
        <v>401</v>
      </c>
    </row>
    <row r="131" spans="1:36" hidden="1" x14ac:dyDescent="0.35">
      <c r="A131" s="53">
        <v>53063003100</v>
      </c>
      <c r="B131" s="69">
        <v>0</v>
      </c>
      <c r="C131" s="70" t="s">
        <v>139</v>
      </c>
      <c r="D131" s="71">
        <v>0</v>
      </c>
      <c r="E131" s="53" t="s">
        <v>65</v>
      </c>
      <c r="F131" s="53">
        <v>2454</v>
      </c>
      <c r="G131" s="53">
        <v>42056</v>
      </c>
      <c r="H131" s="53" t="s">
        <v>138</v>
      </c>
      <c r="I131" s="53">
        <v>50.4</v>
      </c>
      <c r="J131" s="53">
        <v>107</v>
      </c>
      <c r="K131" s="53">
        <v>87.5</v>
      </c>
      <c r="L131" s="53">
        <v>260.2</v>
      </c>
      <c r="M131" s="53">
        <v>263.89999999999998</v>
      </c>
      <c r="N131" s="53">
        <v>153.80000000000001</v>
      </c>
      <c r="O131" s="53">
        <v>1.1000000000000001</v>
      </c>
      <c r="P131" s="53">
        <v>1.1000000000000001</v>
      </c>
      <c r="Q131" s="53">
        <v>1.2</v>
      </c>
      <c r="R131" s="53">
        <v>1.3</v>
      </c>
      <c r="S131" s="53">
        <v>1.1599999999999999</v>
      </c>
      <c r="T131" s="53">
        <v>2332</v>
      </c>
      <c r="U131" s="53">
        <v>2375</v>
      </c>
      <c r="V131" s="53">
        <v>2413</v>
      </c>
      <c r="W131" s="53">
        <v>1237</v>
      </c>
      <c r="X131" s="53">
        <v>1237</v>
      </c>
      <c r="Y131" s="53">
        <v>1.1000000000000001</v>
      </c>
      <c r="Z131" s="53" t="s">
        <v>139</v>
      </c>
      <c r="AA131" s="53">
        <v>2021</v>
      </c>
      <c r="AB131" s="53">
        <v>8</v>
      </c>
      <c r="AC131" s="53">
        <v>8</v>
      </c>
      <c r="AD131" s="53">
        <v>8</v>
      </c>
      <c r="AE131" s="53">
        <v>5</v>
      </c>
      <c r="AF131" s="53">
        <v>1</v>
      </c>
      <c r="AG131" s="53">
        <v>13</v>
      </c>
      <c r="AH131" s="53">
        <v>2021</v>
      </c>
      <c r="AI131" s="53" t="s">
        <v>402</v>
      </c>
      <c r="AJ131" s="53" t="s">
        <v>403</v>
      </c>
    </row>
    <row r="132" spans="1:36" hidden="1" x14ac:dyDescent="0.35">
      <c r="A132" s="53">
        <v>53063012300</v>
      </c>
      <c r="B132" s="69">
        <v>0</v>
      </c>
      <c r="C132" s="70" t="s">
        <v>139</v>
      </c>
      <c r="D132" s="71">
        <v>0</v>
      </c>
      <c r="E132" s="53" t="s">
        <v>65</v>
      </c>
      <c r="F132" s="53">
        <v>3323</v>
      </c>
      <c r="G132" s="53">
        <v>45458</v>
      </c>
      <c r="H132" s="53" t="s">
        <v>152</v>
      </c>
      <c r="I132" s="53">
        <v>108.2</v>
      </c>
      <c r="J132" s="53">
        <v>79.900000000000006</v>
      </c>
      <c r="K132" s="53">
        <v>70.599999999999994</v>
      </c>
      <c r="L132" s="53">
        <v>165</v>
      </c>
      <c r="M132" s="53">
        <v>50.8</v>
      </c>
      <c r="N132" s="53">
        <v>94.9</v>
      </c>
      <c r="O132" s="53">
        <v>2.2000000000000002</v>
      </c>
      <c r="P132" s="53">
        <v>1.1000000000000001</v>
      </c>
      <c r="Q132" s="53">
        <v>1.4</v>
      </c>
      <c r="R132" s="53">
        <v>1.2</v>
      </c>
      <c r="S132" s="53">
        <v>1.38</v>
      </c>
      <c r="T132" s="53">
        <v>3024</v>
      </c>
      <c r="U132" s="53">
        <v>3031</v>
      </c>
      <c r="V132" s="53">
        <v>3023</v>
      </c>
      <c r="W132" s="53">
        <v>2970</v>
      </c>
      <c r="X132" s="53">
        <v>2970</v>
      </c>
      <c r="Y132" s="53">
        <v>1</v>
      </c>
      <c r="Z132" s="53" t="s">
        <v>139</v>
      </c>
      <c r="AA132" s="53">
        <v>2021</v>
      </c>
      <c r="AB132" s="53">
        <v>8</v>
      </c>
      <c r="AC132" s="53">
        <v>8</v>
      </c>
      <c r="AD132" s="53">
        <v>4</v>
      </c>
      <c r="AE132" s="53">
        <v>8</v>
      </c>
      <c r="AF132" s="53">
        <v>1</v>
      </c>
      <c r="AG132" s="53">
        <v>12</v>
      </c>
      <c r="AH132" s="53">
        <v>2021</v>
      </c>
      <c r="AI132" s="53" t="s">
        <v>404</v>
      </c>
      <c r="AJ132" s="53" t="s">
        <v>405</v>
      </c>
    </row>
    <row r="133" spans="1:36" x14ac:dyDescent="0.35">
      <c r="A133" s="53">
        <v>53043960400</v>
      </c>
      <c r="B133" s="69">
        <v>0</v>
      </c>
      <c r="C133" s="70" t="s">
        <v>139</v>
      </c>
      <c r="D133" s="71">
        <v>0</v>
      </c>
      <c r="E133" s="53" t="s">
        <v>64</v>
      </c>
      <c r="F133" s="53">
        <v>1664</v>
      </c>
      <c r="G133" s="53">
        <v>42730</v>
      </c>
      <c r="H133" s="53" t="s">
        <v>135</v>
      </c>
      <c r="I133" s="53">
        <v>224.3</v>
      </c>
      <c r="J133" s="53">
        <v>235.1</v>
      </c>
      <c r="K133" s="53">
        <v>197.9</v>
      </c>
      <c r="L133" s="53">
        <v>184</v>
      </c>
      <c r="M133" s="53">
        <v>177.4</v>
      </c>
      <c r="N133" s="53">
        <v>203.74</v>
      </c>
      <c r="O133" s="53">
        <v>2</v>
      </c>
      <c r="P133" s="53">
        <v>3</v>
      </c>
      <c r="Q133" s="53">
        <v>2.8</v>
      </c>
      <c r="R133" s="53">
        <v>2.7</v>
      </c>
      <c r="S133" s="53">
        <v>2.36</v>
      </c>
      <c r="T133" s="53">
        <v>1674</v>
      </c>
      <c r="U133" s="53">
        <v>1659</v>
      </c>
      <c r="V133" s="53">
        <v>1663</v>
      </c>
      <c r="W133" s="53">
        <v>1658</v>
      </c>
      <c r="X133" s="53">
        <v>1658</v>
      </c>
      <c r="Y133" s="53">
        <v>1.3</v>
      </c>
      <c r="Z133" s="53" t="s">
        <v>139</v>
      </c>
      <c r="AA133" s="53">
        <v>2021</v>
      </c>
      <c r="AB133" s="53">
        <v>5</v>
      </c>
      <c r="AC133" s="53">
        <v>5</v>
      </c>
      <c r="AD133" s="53">
        <v>8</v>
      </c>
      <c r="AE133" s="53">
        <v>3</v>
      </c>
      <c r="AF133" s="53">
        <v>1</v>
      </c>
      <c r="AG133" s="53">
        <v>11</v>
      </c>
      <c r="AH133" s="53">
        <v>2021</v>
      </c>
      <c r="AI133" s="53" t="s">
        <v>406</v>
      </c>
      <c r="AJ133" s="53" t="s">
        <v>407</v>
      </c>
    </row>
    <row r="134" spans="1:36" hidden="1" x14ac:dyDescent="0.35">
      <c r="A134" s="53">
        <v>53063004601</v>
      </c>
      <c r="B134" s="69">
        <v>0</v>
      </c>
      <c r="C134" s="70" t="s">
        <v>139</v>
      </c>
      <c r="D134" s="71">
        <v>0</v>
      </c>
      <c r="E134" s="53" t="s">
        <v>65</v>
      </c>
      <c r="F134" s="53">
        <v>1921</v>
      </c>
      <c r="G134" s="53">
        <v>51188</v>
      </c>
      <c r="H134" s="53" t="s">
        <v>166</v>
      </c>
      <c r="I134" s="53">
        <v>60.2</v>
      </c>
      <c r="J134" s="53">
        <v>265.89999999999998</v>
      </c>
      <c r="K134" s="53">
        <v>41.7</v>
      </c>
      <c r="L134" s="53">
        <v>322</v>
      </c>
      <c r="M134" s="53">
        <v>148.69999999999999</v>
      </c>
      <c r="N134" s="53">
        <v>167.7</v>
      </c>
      <c r="O134" s="53">
        <v>1.2</v>
      </c>
      <c r="P134" s="53">
        <v>1.1000000000000001</v>
      </c>
      <c r="Q134" s="53">
        <v>1.2</v>
      </c>
      <c r="R134" s="53">
        <v>1</v>
      </c>
      <c r="S134" s="53">
        <v>1.2</v>
      </c>
      <c r="T134" s="53">
        <v>1915</v>
      </c>
      <c r="U134" s="53">
        <v>1918</v>
      </c>
      <c r="V134" s="53">
        <v>1916</v>
      </c>
      <c r="W134" s="53">
        <v>780</v>
      </c>
      <c r="X134" s="53">
        <v>780</v>
      </c>
      <c r="Y134" s="53">
        <v>1.5</v>
      </c>
      <c r="Z134" s="53" t="s">
        <v>139</v>
      </c>
      <c r="AA134" s="53">
        <v>2021</v>
      </c>
      <c r="AB134" s="53">
        <v>8</v>
      </c>
      <c r="AC134" s="53">
        <v>8</v>
      </c>
      <c r="AD134" s="53">
        <v>8</v>
      </c>
      <c r="AE134" s="53">
        <v>5</v>
      </c>
      <c r="AF134" s="53">
        <v>1</v>
      </c>
      <c r="AG134" s="53">
        <v>13</v>
      </c>
      <c r="AH134" s="53">
        <v>2021</v>
      </c>
      <c r="AI134" s="53" t="s">
        <v>408</v>
      </c>
      <c r="AJ134" s="53" t="s">
        <v>409</v>
      </c>
    </row>
    <row r="135" spans="1:36" hidden="1" x14ac:dyDescent="0.35">
      <c r="A135" s="53">
        <v>53043960200</v>
      </c>
      <c r="B135" s="69">
        <v>0</v>
      </c>
      <c r="C135" s="70" t="s">
        <v>139</v>
      </c>
      <c r="D135" s="71">
        <v>0</v>
      </c>
      <c r="E135" s="53" t="s">
        <v>64</v>
      </c>
      <c r="F135" s="53">
        <v>861</v>
      </c>
      <c r="G135" s="53">
        <v>56979</v>
      </c>
      <c r="H135" s="53" t="s">
        <v>152</v>
      </c>
      <c r="I135" s="53">
        <v>226.1</v>
      </c>
      <c r="J135" s="53">
        <v>336</v>
      </c>
      <c r="K135" s="53">
        <v>325.2</v>
      </c>
      <c r="L135" s="53">
        <v>188</v>
      </c>
      <c r="M135" s="53">
        <v>181.2</v>
      </c>
      <c r="N135" s="53">
        <v>251.3</v>
      </c>
      <c r="O135" s="53">
        <v>2.4</v>
      </c>
      <c r="P135" s="53">
        <v>1.9</v>
      </c>
      <c r="Q135" s="53">
        <v>2.1</v>
      </c>
      <c r="R135" s="53">
        <v>2.2000000000000002</v>
      </c>
      <c r="S135" s="53">
        <v>2.2400000000000002</v>
      </c>
      <c r="T135" s="53">
        <v>824</v>
      </c>
      <c r="U135" s="53">
        <v>799</v>
      </c>
      <c r="V135" s="53">
        <v>796</v>
      </c>
      <c r="W135" s="53">
        <v>830</v>
      </c>
      <c r="X135" s="53">
        <v>830</v>
      </c>
      <c r="Y135" s="53">
        <v>2.6</v>
      </c>
      <c r="Z135" s="53" t="s">
        <v>134</v>
      </c>
      <c r="AA135" s="53">
        <v>2021</v>
      </c>
      <c r="AB135" s="53">
        <v>4</v>
      </c>
      <c r="AC135" s="53">
        <v>4</v>
      </c>
      <c r="AD135" s="53">
        <v>8</v>
      </c>
      <c r="AE135" s="53">
        <v>2</v>
      </c>
      <c r="AF135" s="53">
        <v>1</v>
      </c>
      <c r="AG135" s="53">
        <v>10</v>
      </c>
      <c r="AH135" s="53">
        <v>2021</v>
      </c>
      <c r="AI135" s="53" t="s">
        <v>410</v>
      </c>
      <c r="AJ135" s="53" t="s">
        <v>411</v>
      </c>
    </row>
    <row r="136" spans="1:36" x14ac:dyDescent="0.35">
      <c r="A136" s="53">
        <v>53063010201</v>
      </c>
      <c r="B136" s="69">
        <v>0</v>
      </c>
      <c r="C136" s="70" t="s">
        <v>139</v>
      </c>
      <c r="D136" s="71">
        <v>0</v>
      </c>
      <c r="E136" s="53" t="s">
        <v>65</v>
      </c>
      <c r="F136" s="53">
        <v>281</v>
      </c>
      <c r="G136" s="53">
        <v>71250</v>
      </c>
      <c r="H136" s="53" t="s">
        <v>135</v>
      </c>
      <c r="I136" s="53">
        <v>279.39999999999998</v>
      </c>
      <c r="J136" s="53">
        <v>142.80000000000001</v>
      </c>
      <c r="K136" s="53">
        <v>260.60000000000002</v>
      </c>
      <c r="L136" s="53">
        <v>142.19999999999999</v>
      </c>
      <c r="M136" s="53">
        <v>142.19999999999999</v>
      </c>
      <c r="N136" s="53">
        <v>193.44</v>
      </c>
      <c r="O136" s="53">
        <v>2.2000000000000002</v>
      </c>
      <c r="P136" s="53">
        <v>1.9</v>
      </c>
      <c r="Q136" s="53">
        <v>1.7</v>
      </c>
      <c r="R136" s="53">
        <v>1.9</v>
      </c>
      <c r="S136" s="53">
        <v>1.92</v>
      </c>
      <c r="T136" s="53">
        <v>261</v>
      </c>
      <c r="U136" s="53">
        <v>264</v>
      </c>
      <c r="V136" s="53">
        <v>270</v>
      </c>
      <c r="W136" s="53">
        <v>136</v>
      </c>
      <c r="X136" s="53">
        <v>136</v>
      </c>
      <c r="Y136" s="53">
        <v>1.9</v>
      </c>
      <c r="Z136" s="53" t="s">
        <v>139</v>
      </c>
      <c r="AA136" s="53">
        <v>2021</v>
      </c>
      <c r="AB136" s="53">
        <v>4</v>
      </c>
      <c r="AC136" s="53">
        <v>4</v>
      </c>
      <c r="AD136" s="53">
        <v>8</v>
      </c>
      <c r="AE136" s="53">
        <v>3</v>
      </c>
      <c r="AF136" s="53">
        <v>1</v>
      </c>
      <c r="AG136" s="53">
        <v>11</v>
      </c>
      <c r="AH136" s="53">
        <v>2021</v>
      </c>
      <c r="AI136" s="53" t="s">
        <v>412</v>
      </c>
      <c r="AJ136" s="53" t="s">
        <v>413</v>
      </c>
    </row>
    <row r="137" spans="1:36" hidden="1" x14ac:dyDescent="0.35">
      <c r="A137" s="53">
        <v>53063013100</v>
      </c>
      <c r="B137" s="69">
        <v>0</v>
      </c>
      <c r="C137" s="70" t="s">
        <v>139</v>
      </c>
      <c r="D137" s="71">
        <v>0</v>
      </c>
      <c r="E137" s="53" t="s">
        <v>65</v>
      </c>
      <c r="F137" s="53">
        <v>7078</v>
      </c>
      <c r="G137" s="53">
        <v>56672</v>
      </c>
      <c r="H137" s="53" t="s">
        <v>152</v>
      </c>
      <c r="I137" s="53">
        <v>268.60000000000002</v>
      </c>
      <c r="J137" s="53">
        <v>93.3</v>
      </c>
      <c r="K137" s="53">
        <v>276.60000000000002</v>
      </c>
      <c r="L137" s="53">
        <v>90.9</v>
      </c>
      <c r="M137" s="53">
        <v>128.6</v>
      </c>
      <c r="N137" s="53">
        <v>171.6</v>
      </c>
      <c r="O137" s="53">
        <v>1.3</v>
      </c>
      <c r="P137" s="53">
        <v>1</v>
      </c>
      <c r="Q137" s="53">
        <v>1.8</v>
      </c>
      <c r="R137" s="53">
        <v>1.3</v>
      </c>
      <c r="S137" s="53">
        <v>1.34</v>
      </c>
      <c r="T137" s="53">
        <v>5898</v>
      </c>
      <c r="U137" s="53">
        <v>6074</v>
      </c>
      <c r="V137" s="53">
        <v>6444</v>
      </c>
      <c r="W137" s="53">
        <v>6284</v>
      </c>
      <c r="X137" s="53">
        <v>6284</v>
      </c>
      <c r="Y137" s="53">
        <v>1.3</v>
      </c>
      <c r="Z137" s="53" t="s">
        <v>139</v>
      </c>
      <c r="AA137" s="53">
        <v>2021</v>
      </c>
      <c r="AB137" s="53">
        <v>8</v>
      </c>
      <c r="AC137" s="53">
        <v>8</v>
      </c>
      <c r="AD137" s="53">
        <v>8</v>
      </c>
      <c r="AE137" s="53">
        <v>6</v>
      </c>
      <c r="AF137" s="53">
        <v>1</v>
      </c>
      <c r="AG137" s="53">
        <v>14</v>
      </c>
      <c r="AH137" s="53">
        <v>2021</v>
      </c>
      <c r="AI137" s="53" t="s">
        <v>414</v>
      </c>
      <c r="AJ137" s="53" t="s">
        <v>415</v>
      </c>
    </row>
    <row r="138" spans="1:36" hidden="1" x14ac:dyDescent="0.35">
      <c r="A138" s="53">
        <v>53063011702</v>
      </c>
      <c r="B138" s="69">
        <v>0</v>
      </c>
      <c r="C138" s="70" t="s">
        <v>139</v>
      </c>
      <c r="D138" s="71">
        <v>0</v>
      </c>
      <c r="E138" s="53" t="s">
        <v>65</v>
      </c>
      <c r="F138" s="53">
        <v>4271</v>
      </c>
      <c r="G138" s="53">
        <v>33467</v>
      </c>
      <c r="H138" s="53" t="s">
        <v>152</v>
      </c>
      <c r="I138" s="53">
        <v>388.4</v>
      </c>
      <c r="J138" s="53">
        <v>53.5</v>
      </c>
      <c r="K138" s="53">
        <v>55.3</v>
      </c>
      <c r="L138" s="53">
        <v>219.9</v>
      </c>
      <c r="M138" s="53">
        <v>93.2</v>
      </c>
      <c r="N138" s="53">
        <v>162.06</v>
      </c>
      <c r="O138" s="53">
        <v>1.1000000000000001</v>
      </c>
      <c r="P138" s="53">
        <v>1.2</v>
      </c>
      <c r="Q138" s="53">
        <v>1.1000000000000001</v>
      </c>
      <c r="R138" s="53">
        <v>1.8</v>
      </c>
      <c r="S138" s="53">
        <v>1.42</v>
      </c>
      <c r="T138" s="53">
        <v>3944</v>
      </c>
      <c r="U138" s="53">
        <v>3948</v>
      </c>
      <c r="V138" s="53">
        <v>3985</v>
      </c>
      <c r="W138" s="53">
        <v>3983</v>
      </c>
      <c r="X138" s="53">
        <v>3983</v>
      </c>
      <c r="Y138" s="53">
        <v>1.9</v>
      </c>
      <c r="Z138" s="53" t="s">
        <v>139</v>
      </c>
      <c r="AA138" s="53">
        <v>2021</v>
      </c>
      <c r="AB138" s="53">
        <v>8</v>
      </c>
      <c r="AC138" s="53">
        <v>8</v>
      </c>
      <c r="AD138" s="53">
        <v>7</v>
      </c>
      <c r="AE138" s="53">
        <v>8</v>
      </c>
      <c r="AF138" s="53">
        <v>1</v>
      </c>
      <c r="AG138" s="53">
        <v>15</v>
      </c>
      <c r="AH138" s="53">
        <v>2021</v>
      </c>
      <c r="AI138" s="53" t="s">
        <v>416</v>
      </c>
      <c r="AJ138" s="53" t="s">
        <v>417</v>
      </c>
    </row>
    <row r="139" spans="1:36" hidden="1" x14ac:dyDescent="0.35">
      <c r="A139" s="53">
        <v>53003960600</v>
      </c>
      <c r="B139" s="69">
        <v>0</v>
      </c>
      <c r="C139" s="70" t="s">
        <v>139</v>
      </c>
      <c r="D139" s="71">
        <v>0</v>
      </c>
      <c r="E139" s="53" t="s">
        <v>62</v>
      </c>
      <c r="F139" s="53">
        <v>1789</v>
      </c>
      <c r="G139" s="53">
        <v>58155</v>
      </c>
      <c r="H139" s="53" t="s">
        <v>166</v>
      </c>
      <c r="I139" s="53">
        <v>103.8</v>
      </c>
      <c r="J139" s="53">
        <v>142.30000000000001</v>
      </c>
      <c r="K139" s="53">
        <v>74.5</v>
      </c>
      <c r="L139" s="53">
        <v>56</v>
      </c>
      <c r="M139" s="53">
        <v>103.3</v>
      </c>
      <c r="N139" s="53">
        <v>95.98</v>
      </c>
      <c r="O139" s="53">
        <v>1.1000000000000001</v>
      </c>
      <c r="P139" s="53">
        <v>1.5</v>
      </c>
      <c r="Q139" s="53">
        <v>1.3</v>
      </c>
      <c r="R139" s="53">
        <v>1.5</v>
      </c>
      <c r="S139" s="53">
        <v>1.46</v>
      </c>
      <c r="T139" s="53">
        <v>1758</v>
      </c>
      <c r="U139" s="53">
        <v>1767</v>
      </c>
      <c r="V139" s="53">
        <v>1767</v>
      </c>
      <c r="W139" s="53">
        <v>1761</v>
      </c>
      <c r="X139" s="53">
        <v>1761</v>
      </c>
      <c r="Y139" s="53">
        <v>1.9</v>
      </c>
      <c r="Z139" s="53" t="s">
        <v>139</v>
      </c>
      <c r="AA139" s="53">
        <v>2021</v>
      </c>
      <c r="AB139" s="53">
        <v>5</v>
      </c>
      <c r="AC139" s="53">
        <v>5</v>
      </c>
      <c r="AD139" s="53">
        <v>8</v>
      </c>
      <c r="AE139" s="53">
        <v>4</v>
      </c>
      <c r="AF139" s="53">
        <v>1</v>
      </c>
      <c r="AG139" s="53">
        <v>12</v>
      </c>
      <c r="AH139" s="53">
        <v>2021</v>
      </c>
      <c r="AI139" s="53" t="s">
        <v>418</v>
      </c>
      <c r="AJ139" s="53" t="s">
        <v>419</v>
      </c>
    </row>
    <row r="140" spans="1:36" hidden="1" x14ac:dyDescent="0.35">
      <c r="A140" s="53">
        <v>53003960300</v>
      </c>
      <c r="B140" s="69">
        <v>0</v>
      </c>
      <c r="C140" s="70" t="s">
        <v>139</v>
      </c>
      <c r="D140" s="71">
        <v>0</v>
      </c>
      <c r="E140" s="53" t="s">
        <v>62</v>
      </c>
      <c r="F140" s="53">
        <v>2371</v>
      </c>
      <c r="G140" s="53">
        <v>33364</v>
      </c>
      <c r="H140" s="53" t="s">
        <v>166</v>
      </c>
      <c r="I140" s="53">
        <v>95.9</v>
      </c>
      <c r="J140" s="53">
        <v>124.2</v>
      </c>
      <c r="K140" s="53">
        <v>107.5</v>
      </c>
      <c r="L140" s="53">
        <v>140</v>
      </c>
      <c r="M140" s="53">
        <v>208.4</v>
      </c>
      <c r="N140" s="53">
        <v>135.19999999999999</v>
      </c>
      <c r="O140" s="53">
        <v>1.1000000000000001</v>
      </c>
      <c r="P140" s="53">
        <v>1.1000000000000001</v>
      </c>
      <c r="Q140" s="53">
        <v>1.8</v>
      </c>
      <c r="R140" s="53">
        <v>2.2999999999999998</v>
      </c>
      <c r="S140" s="53">
        <v>1.5</v>
      </c>
      <c r="T140" s="53">
        <v>2352</v>
      </c>
      <c r="U140" s="53">
        <v>2347</v>
      </c>
      <c r="V140" s="53">
        <v>2342</v>
      </c>
      <c r="W140" s="53">
        <v>2342</v>
      </c>
      <c r="X140" s="53">
        <v>2342</v>
      </c>
      <c r="Y140" s="53">
        <v>1.2</v>
      </c>
      <c r="Z140" s="53" t="s">
        <v>139</v>
      </c>
      <c r="AA140" s="53">
        <v>2021</v>
      </c>
      <c r="AB140" s="53">
        <v>6</v>
      </c>
      <c r="AC140" s="53">
        <v>6</v>
      </c>
      <c r="AD140" s="53">
        <v>7</v>
      </c>
      <c r="AE140" s="53">
        <v>8</v>
      </c>
      <c r="AF140" s="53">
        <v>1</v>
      </c>
      <c r="AG140" s="53">
        <v>15</v>
      </c>
      <c r="AH140" s="53">
        <v>2021</v>
      </c>
      <c r="AI140" s="53" t="s">
        <v>420</v>
      </c>
      <c r="AJ140" s="53" t="s">
        <v>421</v>
      </c>
    </row>
    <row r="141" spans="1:36" hidden="1" x14ac:dyDescent="0.35">
      <c r="A141" s="53">
        <v>53063003800</v>
      </c>
      <c r="B141" s="69">
        <v>0</v>
      </c>
      <c r="C141" s="70" t="s">
        <v>139</v>
      </c>
      <c r="D141" s="71">
        <v>0</v>
      </c>
      <c r="E141" s="53" t="s">
        <v>65</v>
      </c>
      <c r="F141" s="53">
        <v>1095</v>
      </c>
      <c r="G141" s="53">
        <v>45075</v>
      </c>
      <c r="H141" s="53" t="s">
        <v>152</v>
      </c>
      <c r="I141" s="53">
        <v>392.2</v>
      </c>
      <c r="J141" s="53">
        <v>51.7</v>
      </c>
      <c r="K141" s="53">
        <v>69.3</v>
      </c>
      <c r="L141" s="53">
        <v>292.2</v>
      </c>
      <c r="M141" s="53">
        <v>292.2</v>
      </c>
      <c r="N141" s="53">
        <v>219.52</v>
      </c>
      <c r="O141" s="53">
        <v>1.3</v>
      </c>
      <c r="P141" s="53">
        <v>1</v>
      </c>
      <c r="Q141" s="53">
        <v>1.6</v>
      </c>
      <c r="R141" s="53">
        <v>1.1000000000000001</v>
      </c>
      <c r="S141" s="53">
        <v>1.22</v>
      </c>
      <c r="T141" s="53">
        <v>1074</v>
      </c>
      <c r="U141" s="53">
        <v>1077</v>
      </c>
      <c r="V141" s="53">
        <v>1071</v>
      </c>
      <c r="W141" s="53">
        <v>1011</v>
      </c>
      <c r="X141" s="53">
        <v>1011</v>
      </c>
      <c r="Y141" s="53">
        <v>1.1000000000000001</v>
      </c>
      <c r="Z141" s="53" t="s">
        <v>139</v>
      </c>
      <c r="AA141" s="53">
        <v>2021</v>
      </c>
      <c r="AB141" s="53">
        <v>8</v>
      </c>
      <c r="AC141" s="53">
        <v>8</v>
      </c>
      <c r="AD141" s="53">
        <v>8</v>
      </c>
      <c r="AE141" s="53">
        <v>5</v>
      </c>
      <c r="AF141" s="53">
        <v>1</v>
      </c>
      <c r="AG141" s="53">
        <v>13</v>
      </c>
      <c r="AH141" s="53">
        <v>2021</v>
      </c>
      <c r="AI141" s="53" t="s">
        <v>422</v>
      </c>
      <c r="AJ141" s="53" t="s">
        <v>423</v>
      </c>
    </row>
    <row r="142" spans="1:36" hidden="1" x14ac:dyDescent="0.35">
      <c r="A142" s="53">
        <v>53063011202</v>
      </c>
      <c r="B142" s="69">
        <v>0</v>
      </c>
      <c r="C142" s="70" t="s">
        <v>139</v>
      </c>
      <c r="D142" s="71">
        <v>0</v>
      </c>
      <c r="E142" s="53" t="s">
        <v>65</v>
      </c>
      <c r="F142" s="53">
        <v>1689</v>
      </c>
      <c r="G142" s="53">
        <v>56104</v>
      </c>
      <c r="H142" s="53" t="s">
        <v>152</v>
      </c>
      <c r="I142" s="53">
        <v>138.80000000000001</v>
      </c>
      <c r="J142" s="53">
        <v>222.4</v>
      </c>
      <c r="K142" s="53">
        <v>161</v>
      </c>
      <c r="L142" s="53">
        <v>103.6</v>
      </c>
      <c r="M142" s="53">
        <v>147.6</v>
      </c>
      <c r="N142" s="53">
        <v>154.68</v>
      </c>
      <c r="O142" s="53">
        <v>1</v>
      </c>
      <c r="P142" s="53">
        <v>1.7</v>
      </c>
      <c r="Q142" s="53">
        <v>1.1000000000000001</v>
      </c>
      <c r="R142" s="53">
        <v>1</v>
      </c>
      <c r="S142" s="53">
        <v>1.1599999999999999</v>
      </c>
      <c r="T142" s="53">
        <v>1685</v>
      </c>
      <c r="U142" s="53">
        <v>1661</v>
      </c>
      <c r="V142" s="53">
        <v>1662</v>
      </c>
      <c r="W142" s="53">
        <v>1597</v>
      </c>
      <c r="X142" s="53">
        <v>1597</v>
      </c>
      <c r="Y142" s="53">
        <v>1</v>
      </c>
      <c r="Z142" s="53" t="s">
        <v>139</v>
      </c>
      <c r="AA142" s="53">
        <v>2021</v>
      </c>
      <c r="AB142" s="53">
        <v>8</v>
      </c>
      <c r="AC142" s="53">
        <v>8</v>
      </c>
      <c r="AD142" s="53">
        <v>8</v>
      </c>
      <c r="AE142" s="53">
        <v>6</v>
      </c>
      <c r="AF142" s="53">
        <v>1</v>
      </c>
      <c r="AG142" s="53">
        <v>14</v>
      </c>
      <c r="AH142" s="53">
        <v>2021</v>
      </c>
      <c r="AI142" s="53" t="s">
        <v>424</v>
      </c>
      <c r="AJ142" s="53" t="s">
        <v>425</v>
      </c>
    </row>
    <row r="143" spans="1:36" x14ac:dyDescent="0.35">
      <c r="A143" s="53">
        <v>53065950900</v>
      </c>
      <c r="B143" s="69">
        <v>0</v>
      </c>
      <c r="C143" s="70" t="s">
        <v>139</v>
      </c>
      <c r="D143" s="71">
        <v>0</v>
      </c>
      <c r="E143" s="53" t="s">
        <v>66</v>
      </c>
      <c r="F143" s="53">
        <v>1331</v>
      </c>
      <c r="G143" s="53">
        <v>44896</v>
      </c>
      <c r="H143" s="53" t="s">
        <v>135</v>
      </c>
      <c r="I143" s="53">
        <v>248.2</v>
      </c>
      <c r="J143" s="53">
        <v>335.7</v>
      </c>
      <c r="K143" s="53">
        <v>335.7</v>
      </c>
      <c r="L143" s="53">
        <v>191.4</v>
      </c>
      <c r="M143" s="53">
        <v>238.3</v>
      </c>
      <c r="N143" s="53">
        <v>269.86</v>
      </c>
      <c r="O143" s="53">
        <v>4.3</v>
      </c>
      <c r="P143" s="53">
        <v>8.4</v>
      </c>
      <c r="Q143" s="53">
        <v>8.4</v>
      </c>
      <c r="R143" s="53">
        <v>6.2</v>
      </c>
      <c r="S143" s="53">
        <v>6.3400000000000007</v>
      </c>
      <c r="T143" s="53">
        <v>1276</v>
      </c>
      <c r="U143" s="53">
        <v>1285</v>
      </c>
      <c r="V143" s="53">
        <v>1293</v>
      </c>
      <c r="W143" s="53">
        <v>1283</v>
      </c>
      <c r="X143" s="53">
        <v>1283</v>
      </c>
      <c r="Y143" s="53">
        <v>4.4000000000000004</v>
      </c>
      <c r="Z143" s="53" t="s">
        <v>134</v>
      </c>
      <c r="AA143" s="53">
        <v>2021</v>
      </c>
      <c r="AB143" s="53">
        <v>3</v>
      </c>
      <c r="AC143" s="53">
        <v>3</v>
      </c>
      <c r="AD143" s="53">
        <v>8</v>
      </c>
      <c r="AE143" s="53">
        <v>5</v>
      </c>
      <c r="AF143" s="53">
        <v>1</v>
      </c>
      <c r="AG143" s="53">
        <v>13</v>
      </c>
      <c r="AH143" s="53">
        <v>2021</v>
      </c>
      <c r="AI143" s="53" t="s">
        <v>426</v>
      </c>
      <c r="AJ143" s="53" t="s">
        <v>427</v>
      </c>
    </row>
    <row r="144" spans="1:36" x14ac:dyDescent="0.35">
      <c r="A144" s="53">
        <v>53051970100</v>
      </c>
      <c r="B144" s="69">
        <v>0</v>
      </c>
      <c r="C144" s="70" t="s">
        <v>139</v>
      </c>
      <c r="D144" s="71">
        <v>0</v>
      </c>
      <c r="E144" s="53" t="s">
        <v>428</v>
      </c>
      <c r="F144" s="53">
        <v>2</v>
      </c>
      <c r="G144" s="53">
        <v>43125</v>
      </c>
      <c r="H144" s="53" t="s">
        <v>135</v>
      </c>
      <c r="I144" s="53">
        <v>132.19999999999999</v>
      </c>
      <c r="J144" s="53">
        <v>672.8</v>
      </c>
      <c r="K144" s="53">
        <v>231.4</v>
      </c>
      <c r="L144" s="53">
        <v>278.2</v>
      </c>
      <c r="M144" s="53">
        <v>278.2</v>
      </c>
      <c r="N144" s="53">
        <v>318.56000000000012</v>
      </c>
      <c r="O144" s="53">
        <v>6</v>
      </c>
      <c r="P144" s="53">
        <v>6</v>
      </c>
      <c r="Q144" s="53">
        <v>5</v>
      </c>
      <c r="R144" s="53">
        <v>6</v>
      </c>
      <c r="S144" s="53">
        <v>5.8</v>
      </c>
      <c r="T144" s="53">
        <v>2</v>
      </c>
      <c r="U144" s="53">
        <v>2</v>
      </c>
      <c r="V144" s="53">
        <v>2</v>
      </c>
      <c r="W144" s="53">
        <v>2</v>
      </c>
      <c r="X144" s="53">
        <v>2</v>
      </c>
      <c r="Y144" s="53">
        <v>6</v>
      </c>
      <c r="Z144" s="53" t="s">
        <v>139</v>
      </c>
      <c r="AA144" s="53">
        <v>2021</v>
      </c>
      <c r="AB144" s="53">
        <v>2</v>
      </c>
      <c r="AC144" s="53">
        <v>2</v>
      </c>
      <c r="AD144" s="53">
        <v>4</v>
      </c>
      <c r="AE144" s="53">
        <v>4</v>
      </c>
      <c r="AF144" s="53">
        <v>0</v>
      </c>
      <c r="AG144" s="53">
        <v>8</v>
      </c>
      <c r="AH144" s="53">
        <v>2021</v>
      </c>
      <c r="AI144" s="53" t="s">
        <v>429</v>
      </c>
      <c r="AJ144" s="53" t="s">
        <v>430</v>
      </c>
    </row>
    <row r="145" spans="1:36" ht="13.5" customHeight="1" x14ac:dyDescent="0.35">
      <c r="A145" s="53">
        <v>53021020700</v>
      </c>
      <c r="B145" s="69">
        <v>0</v>
      </c>
      <c r="C145" s="70" t="s">
        <v>139</v>
      </c>
      <c r="D145" s="71">
        <v>0</v>
      </c>
      <c r="E145" s="53" t="s">
        <v>431</v>
      </c>
      <c r="F145" s="53">
        <v>37</v>
      </c>
      <c r="G145" s="53">
        <v>70000</v>
      </c>
      <c r="H145" s="53" t="s">
        <v>135</v>
      </c>
      <c r="I145" s="53">
        <v>165.9</v>
      </c>
      <c r="J145" s="53">
        <v>346.3</v>
      </c>
      <c r="K145" s="53">
        <v>346.3</v>
      </c>
      <c r="L145" s="53">
        <v>137.1</v>
      </c>
      <c r="M145" s="53">
        <v>660</v>
      </c>
      <c r="N145" s="53">
        <v>331.12</v>
      </c>
      <c r="O145" s="53">
        <v>3.1</v>
      </c>
      <c r="P145" s="53">
        <v>4.0999999999999996</v>
      </c>
      <c r="Q145" s="53">
        <v>4.0999999999999996</v>
      </c>
      <c r="R145" s="53">
        <v>2.1</v>
      </c>
      <c r="S145" s="53">
        <v>2.88</v>
      </c>
      <c r="T145" s="53">
        <v>38</v>
      </c>
      <c r="U145" s="53">
        <v>34</v>
      </c>
      <c r="V145" s="53">
        <v>35</v>
      </c>
      <c r="W145" s="53">
        <v>35</v>
      </c>
      <c r="X145" s="53">
        <v>35</v>
      </c>
      <c r="Y145" s="53">
        <v>1</v>
      </c>
      <c r="Z145" s="53" t="s">
        <v>139</v>
      </c>
      <c r="AA145" s="53">
        <v>2021</v>
      </c>
      <c r="AB145" s="53">
        <v>5</v>
      </c>
      <c r="AC145" s="53">
        <v>5</v>
      </c>
      <c r="AD145" s="53">
        <v>2</v>
      </c>
      <c r="AE145" s="53">
        <v>7</v>
      </c>
      <c r="AF145" s="53">
        <v>0</v>
      </c>
      <c r="AG145" s="53">
        <v>9</v>
      </c>
      <c r="AH145" s="53">
        <v>2021</v>
      </c>
      <c r="AI145" s="53" t="s">
        <v>432</v>
      </c>
      <c r="AJ145" s="53" t="s">
        <v>433</v>
      </c>
    </row>
    <row r="146" spans="1:36" hidden="1" x14ac:dyDescent="0.35">
      <c r="T146" s="72">
        <f>SUM(T2:T145)</f>
        <v>252521</v>
      </c>
      <c r="U146" s="72">
        <f t="shared" ref="U146:X146" si="0">SUM(U2:U145)</f>
        <v>252849</v>
      </c>
      <c r="V146" s="72">
        <f t="shared" si="0"/>
        <v>256192</v>
      </c>
      <c r="W146" s="72">
        <f t="shared" si="0"/>
        <v>226793</v>
      </c>
      <c r="X146" s="72">
        <f t="shared" si="0"/>
        <v>226790</v>
      </c>
    </row>
    <row r="147" spans="1:36" hidden="1" x14ac:dyDescent="0.35">
      <c r="H147" s="53" t="s">
        <v>434</v>
      </c>
      <c r="T147" s="72"/>
      <c r="U147" s="72"/>
      <c r="V147" s="72"/>
      <c r="W147" s="72"/>
      <c r="X147" s="72"/>
    </row>
    <row r="148" spans="1:36" hidden="1" x14ac:dyDescent="0.35">
      <c r="H148" s="73" t="s">
        <v>435</v>
      </c>
      <c r="I148" s="72">
        <f>AVERAGE(I2:I50)</f>
        <v>176.7040816326531</v>
      </c>
      <c r="J148" s="72">
        <f t="shared" ref="J148:S148" si="1">AVERAGE(J2:J50)</f>
        <v>189.69591836734688</v>
      </c>
      <c r="K148" s="72">
        <f t="shared" si="1"/>
        <v>169.01836734693882</v>
      </c>
      <c r="L148" s="72">
        <f t="shared" si="1"/>
        <v>157.87142857142859</v>
      </c>
      <c r="M148" s="72">
        <f t="shared" si="1"/>
        <v>185.10625000000005</v>
      </c>
      <c r="N148" s="72"/>
      <c r="O148" s="55">
        <f t="shared" si="1"/>
        <v>1.8551020408163263</v>
      </c>
      <c r="P148" s="55">
        <f t="shared" si="1"/>
        <v>1.7326530612244899</v>
      </c>
      <c r="Q148" s="55">
        <f t="shared" si="1"/>
        <v>1.9571428571428564</v>
      </c>
      <c r="R148" s="55">
        <f t="shared" si="1"/>
        <v>1.8734693877551021</v>
      </c>
      <c r="S148" s="55">
        <f t="shared" si="1"/>
        <v>1.8179591836734694</v>
      </c>
      <c r="T148" s="72"/>
      <c r="U148" s="72"/>
      <c r="V148" s="72"/>
      <c r="W148" s="72"/>
      <c r="X148" s="72"/>
    </row>
    <row r="149" spans="1:36" hidden="1" x14ac:dyDescent="0.35">
      <c r="H149" s="73" t="s">
        <v>436</v>
      </c>
      <c r="I149" s="72">
        <f>AVERAGE(I51:I145)</f>
        <v>182.58791208791212</v>
      </c>
      <c r="J149" s="72">
        <f t="shared" ref="J149:S149" si="2">AVERAGE(J51:J145)</f>
        <v>182.3175824175824</v>
      </c>
      <c r="K149" s="72">
        <f t="shared" si="2"/>
        <v>154.79780219780224</v>
      </c>
      <c r="L149" s="72">
        <f t="shared" si="2"/>
        <v>151.68131868131871</v>
      </c>
      <c r="M149" s="72">
        <f t="shared" si="2"/>
        <v>184.06153846153853</v>
      </c>
      <c r="N149" s="72"/>
      <c r="O149" s="55">
        <f t="shared" si="2"/>
        <v>1.7087912087912085</v>
      </c>
      <c r="P149" s="55">
        <f t="shared" si="2"/>
        <v>1.7483516483516477</v>
      </c>
      <c r="Q149" s="55">
        <f t="shared" si="2"/>
        <v>1.6670329670329673</v>
      </c>
      <c r="R149" s="55">
        <f t="shared" si="2"/>
        <v>1.5472527472527471</v>
      </c>
      <c r="S149" s="55">
        <f t="shared" si="2"/>
        <v>1.659340659340659</v>
      </c>
      <c r="T149" s="72"/>
      <c r="U149" s="72"/>
      <c r="V149" s="72"/>
      <c r="W149" s="72"/>
      <c r="X149" s="72"/>
    </row>
    <row r="150" spans="1:36" x14ac:dyDescent="0.35">
      <c r="H150" s="73"/>
      <c r="I150" s="72"/>
      <c r="J150" s="72"/>
      <c r="K150" s="72"/>
      <c r="L150" s="72"/>
      <c r="M150" s="72"/>
      <c r="N150" s="72"/>
      <c r="O150" s="55"/>
      <c r="P150" s="55"/>
      <c r="Q150" s="55"/>
      <c r="R150" s="55"/>
      <c r="S150" s="55"/>
      <c r="T150" s="72"/>
      <c r="U150" s="72"/>
      <c r="V150" s="72"/>
      <c r="W150" s="72"/>
      <c r="X150" s="72"/>
    </row>
    <row r="151" spans="1:36" x14ac:dyDescent="0.35">
      <c r="H151" s="53" t="s">
        <v>437</v>
      </c>
      <c r="T151" s="72"/>
      <c r="U151" s="72"/>
      <c r="V151" s="72"/>
      <c r="W151" s="72"/>
      <c r="X151" s="72"/>
    </row>
    <row r="152" spans="1:36" x14ac:dyDescent="0.35">
      <c r="H152" s="73" t="s">
        <v>435</v>
      </c>
      <c r="I152" s="72">
        <f>STDEV(I2:I50)</f>
        <v>190.43401958769479</v>
      </c>
      <c r="J152" s="72">
        <f t="shared" ref="J152:M152" si="3">STDEV(J2:J50)</f>
        <v>144.42940888080886</v>
      </c>
      <c r="K152" s="72">
        <f t="shared" si="3"/>
        <v>97.686148526521194</v>
      </c>
      <c r="L152" s="72">
        <f t="shared" si="3"/>
        <v>109.68081912227557</v>
      </c>
      <c r="M152" s="72">
        <f t="shared" si="3"/>
        <v>105.98700925263972</v>
      </c>
      <c r="O152" s="74">
        <f>STDEV(O2:O50)</f>
        <v>1.1020929377949109</v>
      </c>
      <c r="P152" s="74">
        <f t="shared" ref="P152:S152" si="4">STDEV(P2:P50)</f>
        <v>1.3582138631155201</v>
      </c>
      <c r="Q152" s="74">
        <f t="shared" si="4"/>
        <v>1.6682076209712822</v>
      </c>
      <c r="R152" s="74">
        <f t="shared" si="4"/>
        <v>1.4757449404459089</v>
      </c>
      <c r="S152" s="74">
        <f t="shared" si="4"/>
        <v>1.2223968593025156</v>
      </c>
      <c r="T152" s="72"/>
      <c r="U152" s="72"/>
      <c r="V152" s="72"/>
      <c r="W152" s="72"/>
      <c r="X152" s="72"/>
    </row>
    <row r="153" spans="1:36" x14ac:dyDescent="0.35">
      <c r="H153" s="73" t="s">
        <v>436</v>
      </c>
      <c r="I153" s="72">
        <f>STDEV(I51:I145)</f>
        <v>109.08665549834403</v>
      </c>
      <c r="J153" s="72">
        <f t="shared" ref="J153:M153" si="5">STDEV(J51:J145)</f>
        <v>106.93064064918862</v>
      </c>
      <c r="K153" s="72">
        <f t="shared" si="5"/>
        <v>91.04794216726566</v>
      </c>
      <c r="L153" s="72">
        <f t="shared" si="5"/>
        <v>73.597403203114027</v>
      </c>
      <c r="M153" s="72">
        <f t="shared" si="5"/>
        <v>103.14060389070907</v>
      </c>
      <c r="O153" s="74">
        <f>STDEV(O51:O145)</f>
        <v>1.1466519719647907</v>
      </c>
      <c r="P153" s="74">
        <f t="shared" ref="P153:S153" si="6">STDEV(P51:P145)</f>
        <v>1.1447816518991882</v>
      </c>
      <c r="Q153" s="74">
        <f t="shared" si="6"/>
        <v>1.0357021177340886</v>
      </c>
      <c r="R153" s="74">
        <f t="shared" si="6"/>
        <v>0.88635842503541318</v>
      </c>
      <c r="S153" s="74">
        <f t="shared" si="6"/>
        <v>0.86684331814771365</v>
      </c>
      <c r="T153" s="72"/>
      <c r="U153" s="72"/>
      <c r="V153" s="72"/>
      <c r="W153" s="72"/>
      <c r="X153" s="72"/>
    </row>
    <row r="154" spans="1:36" x14ac:dyDescent="0.35">
      <c r="T154" s="72"/>
      <c r="U154" s="72"/>
      <c r="V154" s="72"/>
      <c r="W154" s="72"/>
      <c r="X154" s="72"/>
    </row>
    <row r="155" spans="1:36" x14ac:dyDescent="0.35">
      <c r="H155" s="53" t="s">
        <v>438</v>
      </c>
      <c r="T155" s="72"/>
      <c r="U155" s="72"/>
      <c r="V155" s="72"/>
      <c r="W155" s="72"/>
      <c r="X155" s="72"/>
    </row>
    <row r="156" spans="1:36" x14ac:dyDescent="0.35">
      <c r="H156" s="73" t="s">
        <v>435</v>
      </c>
      <c r="I156" s="53">
        <f>COUNT(I2:I50)</f>
        <v>49</v>
      </c>
      <c r="J156" s="53">
        <f t="shared" ref="J156:M156" si="7">COUNT(J2:J50)</f>
        <v>49</v>
      </c>
      <c r="K156" s="53">
        <f t="shared" si="7"/>
        <v>49</v>
      </c>
      <c r="L156" s="53">
        <f t="shared" si="7"/>
        <v>49</v>
      </c>
      <c r="M156" s="53">
        <f t="shared" si="7"/>
        <v>48</v>
      </c>
      <c r="O156" s="53">
        <f>COUNT(O2:O50)</f>
        <v>49</v>
      </c>
      <c r="P156" s="53">
        <f t="shared" ref="P156:S156" si="8">COUNT(P2:P50)</f>
        <v>49</v>
      </c>
      <c r="Q156" s="53">
        <f t="shared" si="8"/>
        <v>49</v>
      </c>
      <c r="R156" s="53">
        <f t="shared" si="8"/>
        <v>49</v>
      </c>
      <c r="S156" s="53">
        <f t="shared" si="8"/>
        <v>49</v>
      </c>
      <c r="T156" s="72"/>
      <c r="U156" s="72"/>
      <c r="V156" s="72"/>
      <c r="W156" s="72"/>
      <c r="X156" s="72"/>
    </row>
    <row r="157" spans="1:36" x14ac:dyDescent="0.35">
      <c r="H157" s="73" t="s">
        <v>436</v>
      </c>
      <c r="I157" s="53">
        <f>COUNT(I51:I145)</f>
        <v>91</v>
      </c>
      <c r="J157" s="53">
        <f t="shared" ref="J157:M157" si="9">COUNT(J51:J145)</f>
        <v>91</v>
      </c>
      <c r="K157" s="53">
        <f t="shared" si="9"/>
        <v>91</v>
      </c>
      <c r="L157" s="53">
        <f t="shared" si="9"/>
        <v>91</v>
      </c>
      <c r="M157" s="53">
        <f t="shared" si="9"/>
        <v>91</v>
      </c>
      <c r="O157" s="53">
        <f>COUNT(O51:O145)</f>
        <v>91</v>
      </c>
      <c r="P157" s="53">
        <f t="shared" ref="P157:S157" si="10">COUNT(P51:P145)</f>
        <v>91</v>
      </c>
      <c r="Q157" s="53">
        <f t="shared" si="10"/>
        <v>91</v>
      </c>
      <c r="R157" s="53">
        <f t="shared" si="10"/>
        <v>91</v>
      </c>
      <c r="S157" s="53">
        <f t="shared" si="10"/>
        <v>91</v>
      </c>
      <c r="T157" s="72"/>
      <c r="U157" s="72"/>
      <c r="V157" s="72"/>
      <c r="W157" s="72"/>
      <c r="X157" s="72"/>
    </row>
    <row r="158" spans="1:36" x14ac:dyDescent="0.35">
      <c r="H158" s="73"/>
      <c r="T158" s="72"/>
      <c r="U158" s="72"/>
      <c r="V158" s="72"/>
      <c r="W158" s="72"/>
      <c r="X158" s="72"/>
    </row>
    <row r="159" spans="1:36" x14ac:dyDescent="0.35">
      <c r="H159" s="73" t="s">
        <v>439</v>
      </c>
      <c r="I159" s="74">
        <f>(I149-I148)/(SQRT(((I152^2)/I156)+((I153^2)/I157)))</f>
        <v>0.19938058080529233</v>
      </c>
      <c r="J159" s="74">
        <f t="shared" ref="J159:M159" si="11">(J149-J148)/(SQRT(((J152^2)/J156)+((J153^2)/J157)))</f>
        <v>-0.31422463509705073</v>
      </c>
      <c r="K159" s="74">
        <f t="shared" si="11"/>
        <v>-0.84111125611875515</v>
      </c>
      <c r="L159" s="74">
        <f t="shared" si="11"/>
        <v>-0.35442686472573526</v>
      </c>
      <c r="M159" s="74">
        <f t="shared" si="11"/>
        <v>-5.576838527271636E-2</v>
      </c>
      <c r="O159" s="74">
        <f>(O149-O148)/(SQRT(((O152^2)/O156)+((O153^2)/O157)))</f>
        <v>-0.7386383866886671</v>
      </c>
      <c r="P159" s="74">
        <f t="shared" ref="P159:S159" si="12">(P149-P148)/(SQRT(((P152^2)/P156)+((P153^2)/P157)))</f>
        <v>6.8810294599069316E-2</v>
      </c>
      <c r="Q159" s="74">
        <f t="shared" si="12"/>
        <v>-1.107790880492326</v>
      </c>
      <c r="R159" s="74">
        <f t="shared" si="12"/>
        <v>-1.4159439161970648</v>
      </c>
      <c r="S159" s="74">
        <f t="shared" si="12"/>
        <v>-0.8057588446497308</v>
      </c>
      <c r="T159" s="72"/>
      <c r="U159" s="72"/>
      <c r="V159" s="72"/>
      <c r="W159" s="72"/>
      <c r="X159" s="72"/>
    </row>
    <row r="160" spans="1:36" x14ac:dyDescent="0.35">
      <c r="H160" s="73" t="s">
        <v>440</v>
      </c>
      <c r="I160" s="74">
        <f>_xlfn.T.DIST(I159,I157-1,TRUE)*2</f>
        <v>1.1575851816759446</v>
      </c>
      <c r="J160" s="74">
        <f t="shared" ref="J160:M160" si="13">_xlfn.T.DIST(J159,J157-1,TRUE)*2</f>
        <v>0.75407766315628444</v>
      </c>
      <c r="K160" s="74">
        <f t="shared" si="13"/>
        <v>0.40251484793480241</v>
      </c>
      <c r="L160" s="74">
        <f t="shared" si="13"/>
        <v>0.72384809673128614</v>
      </c>
      <c r="M160" s="74">
        <f t="shared" si="13"/>
        <v>0.95564993975864487</v>
      </c>
      <c r="O160" s="74">
        <f t="shared" ref="O160:S160" si="14">_xlfn.T.DIST(O159,O157-1,TRUE)*2</f>
        <v>0.4620485110569732</v>
      </c>
      <c r="P160" s="74">
        <f t="shared" si="14"/>
        <v>1.0547067251232873</v>
      </c>
      <c r="Q160" s="74">
        <f t="shared" si="14"/>
        <v>0.27090397507439673</v>
      </c>
      <c r="R160" s="74">
        <f t="shared" si="14"/>
        <v>0.16024345796141823</v>
      </c>
      <c r="S160" s="74">
        <f t="shared" si="14"/>
        <v>0.42250574187667322</v>
      </c>
      <c r="T160" s="72"/>
      <c r="U160" s="72"/>
      <c r="V160" s="72"/>
      <c r="W160" s="72"/>
      <c r="X160" s="72"/>
    </row>
    <row r="161" spans="6:24" x14ac:dyDescent="0.35">
      <c r="H161" s="73"/>
      <c r="T161" s="72"/>
      <c r="U161" s="72"/>
      <c r="V161" s="72"/>
      <c r="W161" s="72"/>
      <c r="X161" s="72"/>
    </row>
    <row r="162" spans="6:24" x14ac:dyDescent="0.35">
      <c r="H162" s="73"/>
      <c r="T162" s="72"/>
      <c r="U162" s="72"/>
      <c r="V162" s="72"/>
      <c r="W162" s="72"/>
      <c r="X162" s="72"/>
    </row>
    <row r="163" spans="6:24" x14ac:dyDescent="0.35">
      <c r="H163" s="73"/>
      <c r="T163" s="72"/>
      <c r="U163" s="72"/>
      <c r="V163" s="72"/>
      <c r="W163" s="72"/>
      <c r="X163" s="72"/>
    </row>
    <row r="164" spans="6:24" x14ac:dyDescent="0.35">
      <c r="H164" s="73"/>
      <c r="T164" s="72"/>
      <c r="U164" s="72"/>
      <c r="V164" s="72"/>
      <c r="W164" s="72"/>
      <c r="X164" s="72"/>
    </row>
    <row r="165" spans="6:24" x14ac:dyDescent="0.35">
      <c r="F165" s="73" t="s">
        <v>435</v>
      </c>
      <c r="G165" s="53">
        <v>1</v>
      </c>
      <c r="H165" s="53" t="s">
        <v>135</v>
      </c>
      <c r="I165" s="55">
        <f>AVERAGEIFS(I$2:I$145,$B$2:$B$145,$G165,$H$2:$H$145,$H165)</f>
        <v>352.61111111111109</v>
      </c>
      <c r="J165" s="55">
        <f t="shared" ref="J165:S179" si="15">AVERAGEIFS(J$2:J$145,$B$2:$B$145,$G165,$H$2:$H$145,$H165)</f>
        <v>284.31111111111113</v>
      </c>
      <c r="K165" s="55">
        <f t="shared" si="15"/>
        <v>258.35555555555555</v>
      </c>
      <c r="L165" s="55">
        <f t="shared" si="15"/>
        <v>266.78888888888895</v>
      </c>
      <c r="M165" s="55">
        <f t="shared" si="15"/>
        <v>238.46249999999998</v>
      </c>
      <c r="N165" s="55"/>
      <c r="O165" s="55">
        <f t="shared" si="15"/>
        <v>3.5333333333333332</v>
      </c>
      <c r="P165" s="55">
        <f t="shared" si="15"/>
        <v>3.8333333333333335</v>
      </c>
      <c r="Q165" s="55">
        <f t="shared" si="15"/>
        <v>4.5</v>
      </c>
      <c r="R165" s="55">
        <f t="shared" si="15"/>
        <v>4.0888888888888886</v>
      </c>
      <c r="S165" s="55">
        <f t="shared" si="15"/>
        <v>3.8399999999999994</v>
      </c>
      <c r="T165" s="72"/>
      <c r="U165" s="72"/>
      <c r="V165" s="72"/>
      <c r="W165" s="72"/>
      <c r="X165" s="72"/>
    </row>
    <row r="166" spans="6:24" x14ac:dyDescent="0.35">
      <c r="F166" s="73" t="s">
        <v>435</v>
      </c>
      <c r="G166" s="53">
        <v>1</v>
      </c>
      <c r="H166" s="53" t="s">
        <v>166</v>
      </c>
      <c r="I166" s="55">
        <f t="shared" ref="I166:I179" si="16">AVERAGEIFS(I$2:I$145,$B$2:$B$145,$G166,$H$2:$H$145,$H166)</f>
        <v>155.22857142857143</v>
      </c>
      <c r="J166" s="55">
        <f t="shared" si="15"/>
        <v>132.77142857142857</v>
      </c>
      <c r="K166" s="55">
        <f t="shared" si="15"/>
        <v>106.6</v>
      </c>
      <c r="L166" s="55">
        <f t="shared" si="15"/>
        <v>124.21428571428574</v>
      </c>
      <c r="M166" s="55">
        <f t="shared" si="15"/>
        <v>142.31428571428572</v>
      </c>
      <c r="N166" s="55"/>
      <c r="O166" s="55">
        <f t="shared" si="15"/>
        <v>1.2714285714285716</v>
      </c>
      <c r="P166" s="55">
        <f t="shared" si="15"/>
        <v>1.157142857142857</v>
      </c>
      <c r="Q166" s="55">
        <f t="shared" si="15"/>
        <v>1.2428571428571431</v>
      </c>
      <c r="R166" s="55">
        <f t="shared" si="15"/>
        <v>1.1428571428571428</v>
      </c>
      <c r="S166" s="55">
        <f t="shared" si="15"/>
        <v>1.1914285714285715</v>
      </c>
      <c r="T166" s="72"/>
      <c r="U166" s="72"/>
      <c r="V166" s="72"/>
      <c r="W166" s="72"/>
      <c r="X166" s="72"/>
    </row>
    <row r="167" spans="6:24" x14ac:dyDescent="0.35">
      <c r="F167" s="73" t="s">
        <v>435</v>
      </c>
      <c r="G167" s="53">
        <v>1</v>
      </c>
      <c r="H167" s="53" t="s">
        <v>152</v>
      </c>
      <c r="I167" s="55">
        <f t="shared" si="16"/>
        <v>152.42999999999998</v>
      </c>
      <c r="J167" s="55">
        <f t="shared" si="15"/>
        <v>176.39999999999998</v>
      </c>
      <c r="K167" s="55">
        <f t="shared" si="15"/>
        <v>173.76999999999998</v>
      </c>
      <c r="L167" s="55">
        <f t="shared" si="15"/>
        <v>134.02000000000004</v>
      </c>
      <c r="M167" s="55">
        <f t="shared" si="15"/>
        <v>240.78000000000003</v>
      </c>
      <c r="N167" s="55"/>
      <c r="O167" s="55">
        <f t="shared" si="15"/>
        <v>1.6199999999999999</v>
      </c>
      <c r="P167" s="55">
        <f t="shared" si="15"/>
        <v>1.5</v>
      </c>
      <c r="Q167" s="55">
        <f t="shared" si="15"/>
        <v>1.7400000000000002</v>
      </c>
      <c r="R167" s="55">
        <f t="shared" si="15"/>
        <v>1.77</v>
      </c>
      <c r="S167" s="55">
        <f t="shared" si="15"/>
        <v>1.5780000000000001</v>
      </c>
      <c r="T167" s="72"/>
      <c r="U167" s="72"/>
      <c r="V167" s="72"/>
      <c r="W167" s="72"/>
      <c r="X167" s="72"/>
    </row>
    <row r="168" spans="6:24" x14ac:dyDescent="0.35">
      <c r="F168" s="73" t="s">
        <v>435</v>
      </c>
      <c r="G168" s="53">
        <v>1</v>
      </c>
      <c r="H168" s="53" t="s">
        <v>161</v>
      </c>
      <c r="I168" s="55">
        <f t="shared" si="16"/>
        <v>98.825000000000017</v>
      </c>
      <c r="J168" s="55">
        <f t="shared" si="15"/>
        <v>121.875</v>
      </c>
      <c r="K168" s="55">
        <f t="shared" si="15"/>
        <v>131.05000000000001</v>
      </c>
      <c r="L168" s="55">
        <f t="shared" si="15"/>
        <v>110.3</v>
      </c>
      <c r="M168" s="55">
        <f t="shared" si="15"/>
        <v>105.37500000000001</v>
      </c>
      <c r="N168" s="55"/>
      <c r="O168" s="55">
        <f t="shared" si="15"/>
        <v>1.175</v>
      </c>
      <c r="P168" s="55">
        <f t="shared" si="15"/>
        <v>1.2250000000000001</v>
      </c>
      <c r="Q168" s="55">
        <f t="shared" si="15"/>
        <v>1.65</v>
      </c>
      <c r="R168" s="55">
        <f t="shared" si="15"/>
        <v>1.1499999999999999</v>
      </c>
      <c r="S168" s="55">
        <f t="shared" si="15"/>
        <v>1.2749999999999999</v>
      </c>
      <c r="T168" s="72"/>
      <c r="U168" s="72"/>
      <c r="V168" s="72"/>
      <c r="W168" s="72"/>
      <c r="X168" s="72"/>
    </row>
    <row r="169" spans="6:24" x14ac:dyDescent="0.35">
      <c r="F169" s="73" t="s">
        <v>435</v>
      </c>
      <c r="G169" s="53">
        <v>1</v>
      </c>
      <c r="H169" s="53" t="s">
        <v>309</v>
      </c>
      <c r="I169" s="55"/>
      <c r="J169" s="55"/>
      <c r="K169" s="55"/>
      <c r="L169" s="55"/>
      <c r="M169" s="55"/>
      <c r="N169" s="55"/>
      <c r="O169" s="55"/>
      <c r="P169" s="55"/>
      <c r="Q169" s="55"/>
      <c r="R169" s="55"/>
      <c r="S169" s="55"/>
      <c r="T169" s="72"/>
      <c r="U169" s="72"/>
      <c r="V169" s="72"/>
      <c r="W169" s="72"/>
      <c r="X169" s="72"/>
    </row>
    <row r="170" spans="6:24" x14ac:dyDescent="0.35">
      <c r="F170" s="73" t="s">
        <v>435</v>
      </c>
      <c r="G170" s="53">
        <v>1</v>
      </c>
      <c r="H170" s="53" t="s">
        <v>195</v>
      </c>
      <c r="I170" s="55">
        <f t="shared" si="16"/>
        <v>31.6</v>
      </c>
      <c r="J170" s="55">
        <f t="shared" si="15"/>
        <v>112.5</v>
      </c>
      <c r="K170" s="55">
        <f t="shared" si="15"/>
        <v>204.4</v>
      </c>
      <c r="L170" s="55">
        <f t="shared" si="15"/>
        <v>117.2</v>
      </c>
      <c r="M170" s="55">
        <f t="shared" si="15"/>
        <v>163.69999999999999</v>
      </c>
      <c r="N170" s="55"/>
      <c r="O170" s="55">
        <f t="shared" si="15"/>
        <v>1.4</v>
      </c>
      <c r="P170" s="55">
        <f t="shared" si="15"/>
        <v>1.2</v>
      </c>
      <c r="Q170" s="55">
        <f t="shared" si="15"/>
        <v>1.1000000000000001</v>
      </c>
      <c r="R170" s="55">
        <f t="shared" si="15"/>
        <v>1.2</v>
      </c>
      <c r="S170" s="55">
        <f t="shared" si="15"/>
        <v>1.3</v>
      </c>
      <c r="T170" s="72"/>
      <c r="U170" s="72"/>
      <c r="V170" s="72"/>
      <c r="W170" s="72"/>
      <c r="X170" s="72"/>
    </row>
    <row r="171" spans="6:24" x14ac:dyDescent="0.35">
      <c r="F171" s="73" t="s">
        <v>435</v>
      </c>
      <c r="G171" s="53">
        <v>1</v>
      </c>
      <c r="H171" s="53" t="s">
        <v>138</v>
      </c>
      <c r="I171" s="55">
        <f t="shared" si="16"/>
        <v>135.95555555555558</v>
      </c>
      <c r="J171" s="55">
        <f t="shared" si="15"/>
        <v>191.27222222222224</v>
      </c>
      <c r="K171" s="55">
        <f t="shared" si="15"/>
        <v>152.45555555555555</v>
      </c>
      <c r="L171" s="55">
        <f t="shared" si="15"/>
        <v>142.58333333333334</v>
      </c>
      <c r="M171" s="55">
        <f t="shared" si="15"/>
        <v>166.01111111111112</v>
      </c>
      <c r="N171" s="55"/>
      <c r="O171" s="55">
        <f t="shared" si="15"/>
        <v>1.55</v>
      </c>
      <c r="P171" s="55">
        <f t="shared" si="15"/>
        <v>1.1777777777777778</v>
      </c>
      <c r="Q171" s="55">
        <f t="shared" si="15"/>
        <v>1.2000000000000002</v>
      </c>
      <c r="R171" s="55">
        <f t="shared" si="15"/>
        <v>1.3055555555555556</v>
      </c>
      <c r="S171" s="55">
        <f t="shared" si="15"/>
        <v>1.3333333333333333</v>
      </c>
      <c r="T171" s="72"/>
      <c r="U171" s="72"/>
      <c r="V171" s="72"/>
      <c r="W171" s="72"/>
      <c r="X171" s="72"/>
    </row>
    <row r="172" spans="6:24" x14ac:dyDescent="0.35">
      <c r="H172" s="73"/>
      <c r="I172" s="55"/>
      <c r="J172" s="55"/>
      <c r="K172" s="55"/>
      <c r="L172" s="55"/>
      <c r="M172" s="55"/>
      <c r="N172" s="55"/>
      <c r="O172" s="55"/>
      <c r="P172" s="55"/>
      <c r="Q172" s="55"/>
      <c r="R172" s="55"/>
      <c r="S172" s="55"/>
      <c r="T172" s="72"/>
      <c r="U172" s="72"/>
      <c r="V172" s="72"/>
      <c r="W172" s="72"/>
      <c r="X172" s="72"/>
    </row>
    <row r="173" spans="6:24" x14ac:dyDescent="0.35">
      <c r="F173" s="73" t="s">
        <v>436</v>
      </c>
      <c r="G173" s="53">
        <v>0</v>
      </c>
      <c r="H173" s="53" t="s">
        <v>135</v>
      </c>
      <c r="I173" s="55">
        <f t="shared" si="16"/>
        <v>247.50454545454539</v>
      </c>
      <c r="J173" s="55">
        <f t="shared" si="15"/>
        <v>222.35909090909092</v>
      </c>
      <c r="K173" s="55">
        <f t="shared" si="15"/>
        <v>227.21363636363637</v>
      </c>
      <c r="L173" s="55">
        <f t="shared" si="15"/>
        <v>157.40454545454543</v>
      </c>
      <c r="M173" s="55">
        <f t="shared" si="15"/>
        <v>184.88636363636363</v>
      </c>
      <c r="N173" s="55"/>
      <c r="O173" s="55">
        <f t="shared" si="15"/>
        <v>2.7227272727272727</v>
      </c>
      <c r="P173" s="55">
        <f t="shared" si="15"/>
        <v>2.5727272727272728</v>
      </c>
      <c r="Q173" s="55">
        <f t="shared" si="15"/>
        <v>2.3409090909090913</v>
      </c>
      <c r="R173" s="55">
        <f t="shared" si="15"/>
        <v>2.1454545454545455</v>
      </c>
      <c r="S173" s="55">
        <f t="shared" si="15"/>
        <v>2.3872727272727272</v>
      </c>
      <c r="T173" s="72"/>
      <c r="U173" s="72"/>
      <c r="V173" s="72"/>
      <c r="W173" s="72"/>
      <c r="X173" s="72"/>
    </row>
    <row r="174" spans="6:24" x14ac:dyDescent="0.35">
      <c r="F174" s="73" t="s">
        <v>436</v>
      </c>
      <c r="G174" s="53">
        <v>0</v>
      </c>
      <c r="H174" s="53" t="s">
        <v>166</v>
      </c>
      <c r="I174" s="55">
        <f t="shared" si="16"/>
        <v>153.61250000000001</v>
      </c>
      <c r="J174" s="55">
        <f t="shared" si="15"/>
        <v>156.03749999999999</v>
      </c>
      <c r="K174" s="55">
        <f t="shared" si="15"/>
        <v>92.681249999999991</v>
      </c>
      <c r="L174" s="55">
        <f t="shared" si="15"/>
        <v>116.20625</v>
      </c>
      <c r="M174" s="55">
        <f t="shared" si="15"/>
        <v>125.42500000000001</v>
      </c>
      <c r="N174" s="55"/>
      <c r="O174" s="55">
        <f t="shared" si="15"/>
        <v>1.175</v>
      </c>
      <c r="P174" s="55">
        <f t="shared" si="15"/>
        <v>1.2312500000000002</v>
      </c>
      <c r="Q174" s="55">
        <f t="shared" si="15"/>
        <v>1.48125</v>
      </c>
      <c r="R174" s="55">
        <f t="shared" si="15"/>
        <v>1.41875</v>
      </c>
      <c r="S174" s="55">
        <f t="shared" si="15"/>
        <v>1.3162499999999999</v>
      </c>
      <c r="T174" s="72"/>
      <c r="U174" s="72"/>
      <c r="V174" s="72"/>
      <c r="W174" s="72"/>
      <c r="X174" s="72"/>
    </row>
    <row r="175" spans="6:24" x14ac:dyDescent="0.35">
      <c r="F175" s="73" t="s">
        <v>436</v>
      </c>
      <c r="G175" s="53">
        <v>0</v>
      </c>
      <c r="H175" s="53" t="s">
        <v>152</v>
      </c>
      <c r="I175" s="55">
        <f>AVERAGEIFS(I$2:I$145,$B$2:$B$145,$G175,$H$2:$H$145,$H175)</f>
        <v>158.18648648648647</v>
      </c>
      <c r="J175" s="55">
        <f t="shared" si="15"/>
        <v>187.8135135135135</v>
      </c>
      <c r="K175" s="55">
        <f t="shared" si="15"/>
        <v>157.12972972972975</v>
      </c>
      <c r="L175" s="55">
        <f t="shared" si="15"/>
        <v>173.84864864864861</v>
      </c>
      <c r="M175" s="55">
        <f t="shared" si="15"/>
        <v>215.24594594594592</v>
      </c>
      <c r="N175" s="55"/>
      <c r="O175" s="55">
        <f t="shared" si="15"/>
        <v>1.5243243243243245</v>
      </c>
      <c r="P175" s="55">
        <f t="shared" si="15"/>
        <v>1.6810810810810812</v>
      </c>
      <c r="Q175" s="55">
        <f t="shared" si="15"/>
        <v>1.4972972972972973</v>
      </c>
      <c r="R175" s="55">
        <f t="shared" si="15"/>
        <v>1.3837837837837839</v>
      </c>
      <c r="S175" s="55">
        <f t="shared" si="15"/>
        <v>1.5151351351351352</v>
      </c>
      <c r="T175" s="72"/>
      <c r="U175" s="72"/>
      <c r="V175" s="72"/>
      <c r="W175" s="72"/>
      <c r="X175" s="72"/>
    </row>
    <row r="176" spans="6:24" x14ac:dyDescent="0.35">
      <c r="F176" s="73" t="s">
        <v>436</v>
      </c>
      <c r="G176" s="53">
        <v>0</v>
      </c>
      <c r="H176" s="53" t="s">
        <v>161</v>
      </c>
      <c r="I176" s="55">
        <f t="shared" si="16"/>
        <v>208.32</v>
      </c>
      <c r="J176" s="55">
        <f t="shared" si="15"/>
        <v>121.88</v>
      </c>
      <c r="K176" s="55">
        <f t="shared" si="15"/>
        <v>156</v>
      </c>
      <c r="L176" s="55">
        <f t="shared" si="15"/>
        <v>108.44000000000001</v>
      </c>
      <c r="M176" s="55">
        <f t="shared" si="15"/>
        <v>149.64000000000001</v>
      </c>
      <c r="N176" s="55"/>
      <c r="O176" s="55">
        <f t="shared" si="15"/>
        <v>1.3</v>
      </c>
      <c r="P176" s="55">
        <f t="shared" si="15"/>
        <v>1.5400000000000003</v>
      </c>
      <c r="Q176" s="55">
        <f t="shared" si="15"/>
        <v>1.4200000000000004</v>
      </c>
      <c r="R176" s="55">
        <f t="shared" si="15"/>
        <v>1.1400000000000001</v>
      </c>
      <c r="S176" s="55">
        <f t="shared" si="15"/>
        <v>1.4920000000000002</v>
      </c>
      <c r="T176" s="72"/>
      <c r="U176" s="72"/>
      <c r="V176" s="72"/>
      <c r="W176" s="72"/>
      <c r="X176" s="72"/>
    </row>
    <row r="177" spans="6:24" x14ac:dyDescent="0.35">
      <c r="F177" s="73" t="s">
        <v>436</v>
      </c>
      <c r="G177" s="53">
        <v>0</v>
      </c>
      <c r="H177" s="53" t="s">
        <v>309</v>
      </c>
      <c r="I177" s="55">
        <f t="shared" si="16"/>
        <v>154.80000000000001</v>
      </c>
      <c r="J177" s="55">
        <f t="shared" si="15"/>
        <v>181.4</v>
      </c>
      <c r="K177" s="55">
        <f t="shared" si="15"/>
        <v>162.69999999999999</v>
      </c>
      <c r="L177" s="55">
        <f t="shared" si="15"/>
        <v>52.6</v>
      </c>
      <c r="M177" s="55">
        <f t="shared" si="15"/>
        <v>133</v>
      </c>
      <c r="N177" s="55"/>
      <c r="O177" s="55">
        <f t="shared" si="15"/>
        <v>1</v>
      </c>
      <c r="P177" s="55">
        <f t="shared" si="15"/>
        <v>1</v>
      </c>
      <c r="Q177" s="55">
        <f t="shared" si="15"/>
        <v>1</v>
      </c>
      <c r="R177" s="55">
        <f t="shared" si="15"/>
        <v>1.6</v>
      </c>
      <c r="S177" s="55">
        <f t="shared" si="15"/>
        <v>1.1399999999999999</v>
      </c>
      <c r="T177" s="72"/>
      <c r="U177" s="72"/>
      <c r="V177" s="72"/>
      <c r="W177" s="72"/>
      <c r="X177" s="72"/>
    </row>
    <row r="178" spans="6:24" x14ac:dyDescent="0.35">
      <c r="F178" s="73" t="s">
        <v>436</v>
      </c>
      <c r="G178" s="53">
        <v>0</v>
      </c>
      <c r="H178" s="53" t="s">
        <v>195</v>
      </c>
      <c r="I178" s="55"/>
      <c r="J178" s="55"/>
      <c r="K178" s="55"/>
      <c r="L178" s="55"/>
      <c r="M178" s="55"/>
      <c r="N178" s="55"/>
      <c r="O178" s="55"/>
      <c r="P178" s="55"/>
      <c r="Q178" s="55"/>
      <c r="R178" s="55"/>
      <c r="S178" s="55"/>
      <c r="T178" s="72"/>
      <c r="U178" s="72"/>
      <c r="V178" s="72"/>
      <c r="W178" s="72"/>
      <c r="X178" s="72"/>
    </row>
    <row r="179" spans="6:24" x14ac:dyDescent="0.35">
      <c r="F179" s="73" t="s">
        <v>436</v>
      </c>
      <c r="G179" s="53">
        <v>0</v>
      </c>
      <c r="H179" s="53" t="s">
        <v>138</v>
      </c>
      <c r="I179" s="55">
        <f t="shared" si="16"/>
        <v>166.33</v>
      </c>
      <c r="J179" s="55">
        <f t="shared" si="15"/>
        <v>146.25</v>
      </c>
      <c r="K179" s="55">
        <f t="shared" si="15"/>
        <v>84.85</v>
      </c>
      <c r="L179" s="55">
        <f t="shared" si="15"/>
        <v>145.35999999999999</v>
      </c>
      <c r="M179" s="55">
        <f t="shared" si="15"/>
        <v>183</v>
      </c>
      <c r="N179" s="55"/>
      <c r="O179" s="55">
        <f t="shared" si="15"/>
        <v>1.2899999999999998</v>
      </c>
      <c r="P179" s="55">
        <f t="shared" si="15"/>
        <v>1.19</v>
      </c>
      <c r="Q179" s="55">
        <f t="shared" si="15"/>
        <v>1.3</v>
      </c>
      <c r="R179" s="55">
        <f t="shared" si="15"/>
        <v>1.24</v>
      </c>
      <c r="S179" s="55">
        <f t="shared" si="15"/>
        <v>1.2760000000000002</v>
      </c>
      <c r="T179" s="72"/>
      <c r="U179" s="72"/>
      <c r="V179" s="72"/>
      <c r="W179" s="72"/>
      <c r="X179" s="72"/>
    </row>
    <row r="180" spans="6:24" x14ac:dyDescent="0.35">
      <c r="F180" s="73"/>
      <c r="I180" s="55"/>
      <c r="J180" s="55"/>
      <c r="K180" s="55"/>
      <c r="L180" s="55"/>
      <c r="M180" s="55"/>
      <c r="N180" s="55"/>
      <c r="O180" s="55"/>
      <c r="P180" s="55"/>
      <c r="Q180" s="55"/>
      <c r="R180" s="55"/>
      <c r="S180" s="55"/>
      <c r="T180" s="72"/>
      <c r="U180" s="72"/>
      <c r="V180" s="72"/>
      <c r="W180" s="72"/>
      <c r="X180" s="72"/>
    </row>
    <row r="181" spans="6:24" x14ac:dyDescent="0.35">
      <c r="F181" s="73"/>
      <c r="H181" s="53" t="s">
        <v>135</v>
      </c>
      <c r="I181" s="55">
        <f>I165-I173</f>
        <v>105.10656565656569</v>
      </c>
      <c r="J181" s="55">
        <f t="shared" ref="J181:M184" si="17">J165-J173</f>
        <v>61.952020202020208</v>
      </c>
      <c r="K181" s="55">
        <f t="shared" si="17"/>
        <v>31.141919191919186</v>
      </c>
      <c r="L181" s="55">
        <f t="shared" si="17"/>
        <v>109.38434343434352</v>
      </c>
      <c r="M181" s="55">
        <f t="shared" si="17"/>
        <v>53.576136363636351</v>
      </c>
      <c r="N181" s="55"/>
      <c r="O181" s="55">
        <f>O165-O173</f>
        <v>0.81060606060606055</v>
      </c>
      <c r="P181" s="55">
        <f t="shared" ref="P181:S184" si="18">P165-P173</f>
        <v>1.2606060606060607</v>
      </c>
      <c r="Q181" s="55">
        <f t="shared" si="18"/>
        <v>2.1590909090909087</v>
      </c>
      <c r="R181" s="55">
        <f t="shared" si="18"/>
        <v>1.9434343434343431</v>
      </c>
      <c r="S181" s="55">
        <f t="shared" si="18"/>
        <v>1.4527272727272722</v>
      </c>
      <c r="T181" s="72"/>
      <c r="U181" s="72"/>
      <c r="V181" s="72"/>
      <c r="W181" s="72"/>
      <c r="X181" s="72"/>
    </row>
    <row r="182" spans="6:24" x14ac:dyDescent="0.35">
      <c r="F182" s="73"/>
      <c r="H182" s="53" t="s">
        <v>166</v>
      </c>
      <c r="I182" s="55">
        <f>I166-I174</f>
        <v>1.6160714285714164</v>
      </c>
      <c r="J182" s="55">
        <f t="shared" si="17"/>
        <v>-23.266071428571422</v>
      </c>
      <c r="K182" s="55">
        <f t="shared" si="17"/>
        <v>13.918750000000003</v>
      </c>
      <c r="L182" s="55">
        <f t="shared" si="17"/>
        <v>8.0080357142857395</v>
      </c>
      <c r="M182" s="55">
        <f t="shared" si="17"/>
        <v>16.889285714285705</v>
      </c>
      <c r="N182" s="55"/>
      <c r="O182" s="55">
        <f>O166-O174</f>
        <v>9.642857142857153E-2</v>
      </c>
      <c r="P182" s="55">
        <f t="shared" si="18"/>
        <v>-7.4107142857143149E-2</v>
      </c>
      <c r="Q182" s="55">
        <f t="shared" si="18"/>
        <v>-0.23839285714285685</v>
      </c>
      <c r="R182" s="55">
        <f t="shared" si="18"/>
        <v>-0.27589285714285716</v>
      </c>
      <c r="S182" s="55">
        <f t="shared" si="18"/>
        <v>-0.12482142857142842</v>
      </c>
      <c r="T182" s="72"/>
      <c r="U182" s="72"/>
      <c r="V182" s="72"/>
      <c r="W182" s="72"/>
      <c r="X182" s="72"/>
    </row>
    <row r="183" spans="6:24" x14ac:dyDescent="0.35">
      <c r="F183" s="73"/>
      <c r="H183" s="53" t="s">
        <v>152</v>
      </c>
      <c r="I183" s="55">
        <f>I167-I175</f>
        <v>-5.7564864864864944</v>
      </c>
      <c r="J183" s="55">
        <f t="shared" si="17"/>
        <v>-11.413513513513522</v>
      </c>
      <c r="K183" s="55">
        <f t="shared" si="17"/>
        <v>16.640270270270236</v>
      </c>
      <c r="L183" s="55">
        <f t="shared" si="17"/>
        <v>-39.828648648648567</v>
      </c>
      <c r="M183" s="55">
        <f t="shared" si="17"/>
        <v>25.53405405405411</v>
      </c>
      <c r="N183" s="55"/>
      <c r="O183" s="55">
        <f>O167-O175</f>
        <v>9.5675675675675365E-2</v>
      </c>
      <c r="P183" s="55">
        <f t="shared" si="18"/>
        <v>-0.18108108108108123</v>
      </c>
      <c r="Q183" s="55">
        <f t="shared" si="18"/>
        <v>0.24270270270270289</v>
      </c>
      <c r="R183" s="55">
        <f t="shared" si="18"/>
        <v>0.38621621621621616</v>
      </c>
      <c r="S183" s="55">
        <f t="shared" si="18"/>
        <v>6.2864864864864867E-2</v>
      </c>
      <c r="T183" s="72"/>
      <c r="U183" s="72"/>
      <c r="V183" s="72"/>
      <c r="W183" s="72"/>
      <c r="X183" s="72"/>
    </row>
    <row r="184" spans="6:24" x14ac:dyDescent="0.35">
      <c r="F184" s="73"/>
      <c r="H184" s="53" t="s">
        <v>161</v>
      </c>
      <c r="I184" s="55">
        <f>I168-I176</f>
        <v>-109.49499999999998</v>
      </c>
      <c r="J184" s="55">
        <f t="shared" si="17"/>
        <v>-4.9999999999954525E-3</v>
      </c>
      <c r="K184" s="55">
        <f t="shared" si="17"/>
        <v>-24.949999999999989</v>
      </c>
      <c r="L184" s="55">
        <f t="shared" si="17"/>
        <v>1.8599999999999852</v>
      </c>
      <c r="M184" s="55">
        <f t="shared" si="17"/>
        <v>-44.265000000000001</v>
      </c>
      <c r="N184" s="55"/>
      <c r="O184" s="55">
        <f>O168-O176</f>
        <v>-0.125</v>
      </c>
      <c r="P184" s="55">
        <f t="shared" si="18"/>
        <v>-0.31500000000000017</v>
      </c>
      <c r="Q184" s="55">
        <f t="shared" si="18"/>
        <v>0.22999999999999954</v>
      </c>
      <c r="R184" s="55">
        <f t="shared" si="18"/>
        <v>9.9999999999997868E-3</v>
      </c>
      <c r="S184" s="55">
        <f t="shared" si="18"/>
        <v>-0.2170000000000003</v>
      </c>
      <c r="T184" s="72"/>
      <c r="U184" s="72"/>
      <c r="V184" s="72"/>
      <c r="W184" s="72"/>
      <c r="X184" s="72"/>
    </row>
    <row r="185" spans="6:24" x14ac:dyDescent="0.35">
      <c r="F185" s="73"/>
      <c r="H185" s="53" t="s">
        <v>309</v>
      </c>
      <c r="I185" s="75" t="s">
        <v>441</v>
      </c>
      <c r="J185" s="75" t="s">
        <v>441</v>
      </c>
      <c r="K185" s="75" t="s">
        <v>441</v>
      </c>
      <c r="L185" s="75" t="s">
        <v>441</v>
      </c>
      <c r="M185" s="75" t="s">
        <v>441</v>
      </c>
      <c r="N185" s="75"/>
      <c r="O185" s="75" t="s">
        <v>441</v>
      </c>
      <c r="P185" s="75" t="s">
        <v>441</v>
      </c>
      <c r="Q185" s="75" t="s">
        <v>441</v>
      </c>
      <c r="R185" s="75" t="s">
        <v>441</v>
      </c>
      <c r="S185" s="75" t="s">
        <v>441</v>
      </c>
      <c r="T185" s="72"/>
      <c r="U185" s="72"/>
      <c r="V185" s="72"/>
      <c r="W185" s="72"/>
      <c r="X185" s="72"/>
    </row>
    <row r="186" spans="6:24" x14ac:dyDescent="0.35">
      <c r="F186" s="73"/>
      <c r="H186" s="53" t="s">
        <v>195</v>
      </c>
      <c r="I186" s="75" t="s">
        <v>441</v>
      </c>
      <c r="J186" s="75" t="s">
        <v>441</v>
      </c>
      <c r="K186" s="75" t="s">
        <v>441</v>
      </c>
      <c r="L186" s="75" t="s">
        <v>441</v>
      </c>
      <c r="M186" s="75" t="s">
        <v>441</v>
      </c>
      <c r="N186" s="75"/>
      <c r="O186" s="75" t="s">
        <v>441</v>
      </c>
      <c r="P186" s="75" t="s">
        <v>441</v>
      </c>
      <c r="Q186" s="75" t="s">
        <v>441</v>
      </c>
      <c r="R186" s="75" t="s">
        <v>441</v>
      </c>
      <c r="S186" s="75" t="s">
        <v>441</v>
      </c>
      <c r="T186" s="72"/>
      <c r="U186" s="72"/>
      <c r="V186" s="72"/>
      <c r="W186" s="72"/>
      <c r="X186" s="72"/>
    </row>
    <row r="187" spans="6:24" x14ac:dyDescent="0.35">
      <c r="F187" s="73"/>
      <c r="H187" s="53" t="s">
        <v>138</v>
      </c>
      <c r="I187" s="55">
        <f>I171-I179</f>
        <v>-30.374444444444435</v>
      </c>
      <c r="J187" s="55">
        <f t="shared" ref="J187:M187" si="19">J171-J179</f>
        <v>45.02222222222224</v>
      </c>
      <c r="K187" s="55">
        <f t="shared" si="19"/>
        <v>67.605555555555554</v>
      </c>
      <c r="L187" s="55">
        <f t="shared" si="19"/>
        <v>-2.7766666666666424</v>
      </c>
      <c r="M187" s="55">
        <f t="shared" si="19"/>
        <v>-16.98888888888888</v>
      </c>
      <c r="O187" s="55">
        <f>O171-O179</f>
        <v>0.26000000000000023</v>
      </c>
      <c r="P187" s="55">
        <f t="shared" ref="P187:S187" si="20">P171-P179</f>
        <v>-1.2222222222222134E-2</v>
      </c>
      <c r="Q187" s="55">
        <f t="shared" si="20"/>
        <v>-9.9999999999999867E-2</v>
      </c>
      <c r="R187" s="55">
        <f t="shared" si="20"/>
        <v>6.5555555555555589E-2</v>
      </c>
      <c r="S187" s="55">
        <f t="shared" si="20"/>
        <v>5.7333333333333014E-2</v>
      </c>
      <c r="T187" s="72"/>
      <c r="U187" s="72"/>
      <c r="V187" s="72"/>
      <c r="W187" s="72"/>
      <c r="X187" s="72"/>
    </row>
    <row r="188" spans="6:24" x14ac:dyDescent="0.35">
      <c r="H188" s="73"/>
      <c r="T188" s="72"/>
      <c r="U188" s="72"/>
      <c r="V188" s="72"/>
      <c r="W188" s="72"/>
      <c r="X188" s="72"/>
    </row>
    <row r="189" spans="6:24" x14ac:dyDescent="0.35">
      <c r="T189" s="72"/>
      <c r="U189" s="72"/>
      <c r="V189" s="72"/>
      <c r="W189" s="72"/>
      <c r="X189" s="72"/>
    </row>
    <row r="190" spans="6:24" x14ac:dyDescent="0.35">
      <c r="T190" s="72"/>
      <c r="U190" s="72"/>
      <c r="V190" s="72"/>
      <c r="W190" s="72"/>
      <c r="X190" s="72"/>
    </row>
    <row r="191" spans="6:24" x14ac:dyDescent="0.35">
      <c r="H191" s="53" t="s">
        <v>442</v>
      </c>
      <c r="T191" s="72"/>
      <c r="U191" s="72"/>
      <c r="V191" s="72"/>
      <c r="W191" s="72"/>
      <c r="X191" s="72"/>
    </row>
    <row r="192" spans="6:24" ht="13.15" x14ac:dyDescent="0.4">
      <c r="I192" s="232" t="s">
        <v>443</v>
      </c>
      <c r="J192" s="232"/>
      <c r="K192" s="232"/>
      <c r="L192" s="232"/>
      <c r="M192" s="232"/>
      <c r="O192" s="232" t="s">
        <v>444</v>
      </c>
      <c r="P192" s="232"/>
      <c r="Q192" s="232"/>
      <c r="R192" s="232"/>
      <c r="S192" s="232"/>
    </row>
    <row r="193" spans="2:37" s="79" customFormat="1" ht="13.15" x14ac:dyDescent="0.4">
      <c r="B193" s="76"/>
      <c r="C193" s="77"/>
      <c r="D193" s="78"/>
      <c r="I193" s="79">
        <v>2016</v>
      </c>
      <c r="J193" s="79">
        <v>2017</v>
      </c>
      <c r="K193" s="79">
        <v>2018</v>
      </c>
      <c r="L193" s="79">
        <v>2019</v>
      </c>
      <c r="M193" s="79">
        <v>2020</v>
      </c>
      <c r="O193" s="79">
        <v>2016</v>
      </c>
      <c r="P193" s="79">
        <v>2017</v>
      </c>
      <c r="Q193" s="79">
        <v>2018</v>
      </c>
      <c r="R193" s="79">
        <v>2019</v>
      </c>
      <c r="S193" s="79">
        <v>2020</v>
      </c>
      <c r="AK193" s="53"/>
    </row>
    <row r="194" spans="2:37" x14ac:dyDescent="0.35">
      <c r="H194" s="73" t="s">
        <v>435</v>
      </c>
      <c r="I194" s="72">
        <f>SUMPRODUCT(T$2:T$50,I$2:I$50)/SUM(T$2:T$50)</f>
        <v>210.94877528445014</v>
      </c>
      <c r="J194" s="72">
        <f t="shared" ref="J194:M194" si="21">SUMPRODUCT(U$2:U$50,J$2:J$50)/SUM(U$2:U$50)</f>
        <v>184.90729618127835</v>
      </c>
      <c r="K194" s="72">
        <f t="shared" si="21"/>
        <v>162.64679506571207</v>
      </c>
      <c r="L194" s="72">
        <f t="shared" si="21"/>
        <v>147.63579920739767</v>
      </c>
      <c r="M194" s="72">
        <f t="shared" si="21"/>
        <v>185.06738244494568</v>
      </c>
      <c r="N194" s="55"/>
      <c r="O194" s="55">
        <f>SUMPRODUCT(T$2:T$50,O$2:O$50)/SUM(T$2:T$50)</f>
        <v>1.8529427036301243</v>
      </c>
      <c r="P194" s="55">
        <f t="shared" ref="P194:S194" si="22">SUMPRODUCT($F$2:$F$50,P$2:P$50)/SUM($F$2:$F$50)</f>
        <v>1.7135008811585324</v>
      </c>
      <c r="Q194" s="55">
        <f t="shared" si="22"/>
        <v>1.9196952614468521</v>
      </c>
      <c r="R194" s="55">
        <f t="shared" si="22"/>
        <v>1.8461989776371817</v>
      </c>
      <c r="S194" s="55">
        <f t="shared" si="22"/>
        <v>1.8191733528903093</v>
      </c>
    </row>
    <row r="195" spans="2:37" x14ac:dyDescent="0.35">
      <c r="H195" s="73" t="s">
        <v>436</v>
      </c>
      <c r="I195" s="72">
        <f>SUMPRODUCT(I$51:I$145,T$51:T$145)/SUM(T$51:T$145)</f>
        <v>179.6956505560334</v>
      </c>
      <c r="J195" s="72">
        <f t="shared" ref="J195:M195" si="23">SUMPRODUCT(J$51:J$145,U$51:U$145)/SUM(U$51:U$145)</f>
        <v>174.50586273796526</v>
      </c>
      <c r="K195" s="72">
        <f t="shared" si="23"/>
        <v>150.54836976380594</v>
      </c>
      <c r="L195" s="72">
        <f t="shared" si="23"/>
        <v>153.15189524465879</v>
      </c>
      <c r="M195" s="72">
        <f t="shared" si="23"/>
        <v>179.82356790468845</v>
      </c>
      <c r="N195" s="55"/>
      <c r="O195" s="55">
        <f>SUMPRODUCT(O$51:O$145,T$51:T$145)/SUM(T$51:T$145)</f>
        <v>1.5691396885236899</v>
      </c>
      <c r="P195" s="55">
        <f t="shared" ref="P195:S195" si="24">SUMPRODUCT(P$51:P$145,U$51:U$145)/SUM(U$51:U$145)</f>
        <v>1.5496186492057717</v>
      </c>
      <c r="Q195" s="55">
        <f t="shared" si="24"/>
        <v>1.5739359885946369</v>
      </c>
      <c r="R195" s="55">
        <f t="shared" si="24"/>
        <v>1.4595226235235519</v>
      </c>
      <c r="S195" s="55">
        <f t="shared" si="24"/>
        <v>1.5772361839905564</v>
      </c>
    </row>
    <row r="196" spans="2:37" x14ac:dyDescent="0.35">
      <c r="H196" s="53" t="s">
        <v>445</v>
      </c>
      <c r="I196" s="80">
        <f>I194-I195</f>
        <v>31.253124728416736</v>
      </c>
      <c r="J196" s="80">
        <f t="shared" ref="J196:S196" si="25">J194-J195</f>
        <v>10.401433443313095</v>
      </c>
      <c r="K196" s="80">
        <f t="shared" si="25"/>
        <v>12.098425301906133</v>
      </c>
      <c r="L196" s="80">
        <f t="shared" si="25"/>
        <v>-5.5160960372611214</v>
      </c>
      <c r="M196" s="80">
        <f t="shared" si="25"/>
        <v>5.2438145402572331</v>
      </c>
      <c r="O196" s="81">
        <f t="shared" si="25"/>
        <v>0.28380301510643435</v>
      </c>
      <c r="P196" s="81">
        <f t="shared" si="25"/>
        <v>0.16388223195276064</v>
      </c>
      <c r="Q196" s="81">
        <f t="shared" si="25"/>
        <v>0.34575927285221519</v>
      </c>
      <c r="R196" s="81">
        <f t="shared" si="25"/>
        <v>0.38667635411362977</v>
      </c>
      <c r="S196" s="81">
        <f t="shared" si="25"/>
        <v>0.24193716889975292</v>
      </c>
    </row>
    <row r="198" spans="2:37" ht="13.15" x14ac:dyDescent="0.4">
      <c r="I198" s="232" t="s">
        <v>446</v>
      </c>
      <c r="J198" s="232"/>
      <c r="K198" s="232"/>
      <c r="L198" s="232"/>
      <c r="M198" s="232"/>
      <c r="O198" s="232" t="s">
        <v>447</v>
      </c>
      <c r="P198" s="232"/>
      <c r="Q198" s="232"/>
      <c r="R198" s="232"/>
      <c r="S198" s="232"/>
    </row>
    <row r="199" spans="2:37" ht="13.15" x14ac:dyDescent="0.4">
      <c r="H199" s="79"/>
      <c r="I199" s="79">
        <v>2016</v>
      </c>
      <c r="J199" s="79">
        <v>2017</v>
      </c>
      <c r="K199" s="79">
        <v>2018</v>
      </c>
      <c r="L199" s="79">
        <v>2019</v>
      </c>
      <c r="M199" s="79">
        <v>2020</v>
      </c>
      <c r="O199" s="79">
        <v>2016</v>
      </c>
      <c r="P199" s="79">
        <v>2017</v>
      </c>
      <c r="Q199" s="79">
        <v>2018</v>
      </c>
      <c r="R199" s="79">
        <v>2019</v>
      </c>
      <c r="S199" s="79">
        <v>2020</v>
      </c>
    </row>
    <row r="200" spans="2:37" x14ac:dyDescent="0.35">
      <c r="H200" s="73" t="s">
        <v>435</v>
      </c>
      <c r="I200" s="72">
        <f>SUM(T2:T48)</f>
        <v>87385</v>
      </c>
      <c r="J200" s="72">
        <f t="shared" ref="J200:M200" si="26">SUM(U2:U48)</f>
        <v>86704</v>
      </c>
      <c r="K200" s="72">
        <f t="shared" si="26"/>
        <v>88048</v>
      </c>
      <c r="L200" s="72">
        <f t="shared" si="26"/>
        <v>79411</v>
      </c>
      <c r="M200" s="72">
        <f t="shared" si="26"/>
        <v>79411</v>
      </c>
      <c r="O200" s="72">
        <f>I194/O194</f>
        <v>113.84527695928084</v>
      </c>
      <c r="P200" s="72">
        <f t="shared" ref="P200:S200" si="27">J194/P194</f>
        <v>107.91199363507698</v>
      </c>
      <c r="Q200" s="72">
        <f t="shared" si="27"/>
        <v>84.725319863074034</v>
      </c>
      <c r="R200" s="72">
        <f t="shared" si="27"/>
        <v>79.967436335787696</v>
      </c>
      <c r="S200" s="72">
        <f t="shared" si="27"/>
        <v>101.73158162794653</v>
      </c>
    </row>
    <row r="201" spans="2:37" x14ac:dyDescent="0.35">
      <c r="H201" s="73" t="s">
        <v>436</v>
      </c>
      <c r="I201" s="72">
        <f>SUM(T49:T145)</f>
        <v>165136</v>
      </c>
      <c r="J201" s="72">
        <f t="shared" ref="J201:M201" si="28">SUM(U49:U145)</f>
        <v>166145</v>
      </c>
      <c r="K201" s="72">
        <f t="shared" si="28"/>
        <v>168144</v>
      </c>
      <c r="L201" s="72">
        <f t="shared" si="28"/>
        <v>147382</v>
      </c>
      <c r="M201" s="72">
        <f t="shared" si="28"/>
        <v>147379</v>
      </c>
      <c r="O201" s="72">
        <f t="shared" ref="O201:S201" si="29">I195/O195</f>
        <v>114.51858102263562</v>
      </c>
      <c r="P201" s="72">
        <f t="shared" si="29"/>
        <v>112.61213384816</v>
      </c>
      <c r="Q201" s="72">
        <f t="shared" si="29"/>
        <v>95.650884695908218</v>
      </c>
      <c r="R201" s="72">
        <f t="shared" si="29"/>
        <v>104.93286830657162</v>
      </c>
      <c r="S201" s="72">
        <f t="shared" si="29"/>
        <v>114.0118199987765</v>
      </c>
    </row>
    <row r="203" spans="2:37" x14ac:dyDescent="0.35">
      <c r="I203" s="80">
        <f>I194-I195</f>
        <v>31.253124728416736</v>
      </c>
      <c r="J203" s="80">
        <f t="shared" ref="J203:M203" si="30">J194-J195</f>
        <v>10.401433443313095</v>
      </c>
      <c r="K203" s="80">
        <f t="shared" si="30"/>
        <v>12.098425301906133</v>
      </c>
      <c r="L203" s="80">
        <f t="shared" si="30"/>
        <v>-5.5160960372611214</v>
      </c>
      <c r="M203" s="80">
        <f t="shared" si="30"/>
        <v>5.2438145402572331</v>
      </c>
    </row>
  </sheetData>
  <autoFilter ref="A1:AJ149" xr:uid="{95F9A413-D63D-447F-81C7-EEFA5FCF8533}">
    <filterColumn colId="7">
      <filters>
        <filter val="RURAL"/>
      </filters>
    </filterColumn>
    <sortState xmlns:xlrd2="http://schemas.microsoft.com/office/spreadsheetml/2017/richdata2" ref="A2:AJ145">
      <sortCondition descending="1" ref="B1:B145"/>
    </sortState>
  </autoFilter>
  <mergeCells count="4">
    <mergeCell ref="I192:M192"/>
    <mergeCell ref="O192:S192"/>
    <mergeCell ref="I198:M198"/>
    <mergeCell ref="O198:S19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EF06-0403-4C6F-B9C2-968F80AF84EA}">
  <dimension ref="A2:N43"/>
  <sheetViews>
    <sheetView topLeftCell="A10" workbookViewId="0">
      <selection activeCell="H21" sqref="H21"/>
    </sheetView>
  </sheetViews>
  <sheetFormatPr defaultColWidth="9.1328125" defaultRowHeight="12.75" x14ac:dyDescent="0.35"/>
  <cols>
    <col min="1" max="1" width="15.73046875" style="53" bestFit="1" customWidth="1"/>
    <col min="2" max="2" width="26.86328125" style="53" bestFit="1" customWidth="1"/>
    <col min="3" max="3" width="26.3984375" style="53" bestFit="1" customWidth="1"/>
    <col min="4" max="4" width="10.1328125" style="53" bestFit="1" customWidth="1"/>
    <col min="5" max="7" width="9.1328125" style="53"/>
    <col min="8" max="8" width="9.73046875" style="53" bestFit="1" customWidth="1"/>
    <col min="9" max="13" width="9.1328125" style="53"/>
    <col min="14" max="14" width="9.73046875" style="53" bestFit="1" customWidth="1"/>
    <col min="15" max="16384" width="9.1328125" style="53"/>
  </cols>
  <sheetData>
    <row r="2" spans="1:14" s="79" customFormat="1" ht="13.15" x14ac:dyDescent="0.4">
      <c r="D2" s="79" t="s">
        <v>590</v>
      </c>
      <c r="J2" s="79" t="s">
        <v>591</v>
      </c>
    </row>
    <row r="3" spans="1:14" s="79" customFormat="1" ht="13.15" x14ac:dyDescent="0.4">
      <c r="D3" s="79">
        <v>2016</v>
      </c>
      <c r="E3" s="79">
        <v>2017</v>
      </c>
      <c r="F3" s="79">
        <v>2018</v>
      </c>
      <c r="G3" s="79">
        <v>2019</v>
      </c>
      <c r="H3" s="79">
        <v>2020</v>
      </c>
      <c r="J3" s="79">
        <v>2016</v>
      </c>
      <c r="K3" s="79">
        <v>2017</v>
      </c>
      <c r="L3" s="79">
        <v>2018</v>
      </c>
      <c r="M3" s="79">
        <v>2019</v>
      </c>
      <c r="N3" s="79">
        <v>2020</v>
      </c>
    </row>
    <row r="4" spans="1:14" x14ac:dyDescent="0.35">
      <c r="C4" s="53" t="s">
        <v>592</v>
      </c>
      <c r="D4" s="197">
        <v>1700</v>
      </c>
      <c r="E4" s="197">
        <v>1703</v>
      </c>
      <c r="F4" s="197">
        <v>1690</v>
      </c>
      <c r="G4" s="197">
        <v>1670</v>
      </c>
      <c r="H4" s="197">
        <v>1725</v>
      </c>
      <c r="I4" s="197"/>
      <c r="J4" s="197">
        <v>1578</v>
      </c>
      <c r="K4" s="197">
        <v>1579</v>
      </c>
      <c r="L4" s="197">
        <v>1616</v>
      </c>
      <c r="M4" s="197">
        <v>1645</v>
      </c>
      <c r="N4" s="197">
        <v>1638</v>
      </c>
    </row>
    <row r="5" spans="1:14" x14ac:dyDescent="0.35">
      <c r="D5" s="197"/>
      <c r="E5" s="197"/>
      <c r="F5" s="197"/>
      <c r="G5" s="197"/>
      <c r="H5" s="197"/>
      <c r="I5" s="197"/>
      <c r="J5" s="197"/>
      <c r="K5" s="197"/>
      <c r="L5" s="197"/>
      <c r="M5" s="197"/>
      <c r="N5" s="197"/>
    </row>
    <row r="6" spans="1:14" x14ac:dyDescent="0.35">
      <c r="C6" s="53" t="s">
        <v>593</v>
      </c>
      <c r="D6" s="197">
        <v>1655</v>
      </c>
      <c r="E6" s="197">
        <v>1681</v>
      </c>
      <c r="F6" s="197">
        <v>1555</v>
      </c>
      <c r="G6" s="197">
        <v>1602</v>
      </c>
      <c r="H6" s="197">
        <v>1613</v>
      </c>
      <c r="I6" s="197"/>
      <c r="J6" s="197">
        <v>1587</v>
      </c>
      <c r="K6" s="197">
        <v>1596</v>
      </c>
      <c r="L6" s="197">
        <v>1716</v>
      </c>
      <c r="M6" s="197">
        <v>1656</v>
      </c>
      <c r="N6" s="197">
        <v>1721</v>
      </c>
    </row>
    <row r="7" spans="1:14" s="198" customFormat="1" x14ac:dyDescent="0.35">
      <c r="C7" s="198" t="s">
        <v>594</v>
      </c>
      <c r="D7" s="198">
        <v>42721</v>
      </c>
      <c r="E7" s="198">
        <v>42740</v>
      </c>
      <c r="F7" s="198">
        <v>43152</v>
      </c>
      <c r="G7" s="198">
        <v>43503</v>
      </c>
      <c r="H7" s="198">
        <v>43844</v>
      </c>
      <c r="J7" s="198">
        <v>42579</v>
      </c>
      <c r="K7" s="198">
        <v>42950</v>
      </c>
      <c r="L7" s="198">
        <v>43322</v>
      </c>
      <c r="M7" s="198">
        <v>43684</v>
      </c>
      <c r="N7" s="198">
        <v>44060</v>
      </c>
    </row>
    <row r="8" spans="1:14" x14ac:dyDescent="0.35">
      <c r="C8" s="53" t="s">
        <v>595</v>
      </c>
      <c r="D8" s="53">
        <v>18</v>
      </c>
      <c r="E8" s="53">
        <v>8</v>
      </c>
      <c r="F8" s="53">
        <v>8</v>
      </c>
      <c r="G8" s="53">
        <v>8</v>
      </c>
      <c r="H8" s="53">
        <v>19</v>
      </c>
      <c r="J8" s="53">
        <v>17</v>
      </c>
      <c r="K8" s="53">
        <v>18</v>
      </c>
      <c r="L8" s="53">
        <v>16</v>
      </c>
      <c r="M8" s="53">
        <v>17</v>
      </c>
      <c r="N8" s="53">
        <v>16</v>
      </c>
    </row>
    <row r="12" spans="1:14" ht="13.15" x14ac:dyDescent="0.4">
      <c r="A12" s="79" t="s">
        <v>596</v>
      </c>
      <c r="B12" s="79" t="s">
        <v>597</v>
      </c>
      <c r="C12" s="79" t="s">
        <v>598</v>
      </c>
      <c r="D12" s="79">
        <v>2016</v>
      </c>
      <c r="E12" s="79">
        <v>2017</v>
      </c>
      <c r="F12" s="79">
        <v>2018</v>
      </c>
      <c r="G12" s="79">
        <v>2019</v>
      </c>
      <c r="H12" s="79">
        <v>2020</v>
      </c>
      <c r="I12" s="79"/>
      <c r="J12" s="79">
        <v>2016</v>
      </c>
      <c r="K12" s="79">
        <v>2017</v>
      </c>
      <c r="L12" s="79">
        <v>2018</v>
      </c>
      <c r="M12" s="79">
        <v>2019</v>
      </c>
      <c r="N12" s="79">
        <v>2020</v>
      </c>
    </row>
    <row r="13" spans="1:14" x14ac:dyDescent="0.35">
      <c r="A13" s="53" t="s">
        <v>599</v>
      </c>
      <c r="B13" s="199" t="s">
        <v>600</v>
      </c>
      <c r="C13" s="53" t="s">
        <v>601</v>
      </c>
      <c r="D13" s="197">
        <v>318</v>
      </c>
      <c r="E13" s="197">
        <v>319</v>
      </c>
      <c r="F13" s="197">
        <v>317</v>
      </c>
      <c r="G13" s="197">
        <v>251</v>
      </c>
      <c r="H13" s="197">
        <v>278</v>
      </c>
      <c r="I13" s="197"/>
      <c r="J13" s="197">
        <v>279</v>
      </c>
      <c r="K13" s="197">
        <v>281</v>
      </c>
      <c r="L13" s="197">
        <v>278</v>
      </c>
      <c r="M13" s="197">
        <v>261</v>
      </c>
      <c r="N13" s="197">
        <v>272</v>
      </c>
    </row>
    <row r="14" spans="1:14" x14ac:dyDescent="0.35">
      <c r="A14" s="53" t="s">
        <v>599</v>
      </c>
      <c r="B14" s="199" t="s">
        <v>484</v>
      </c>
      <c r="C14" s="53" t="s">
        <v>601</v>
      </c>
      <c r="D14" s="197">
        <v>283</v>
      </c>
      <c r="E14" s="197">
        <v>283</v>
      </c>
      <c r="F14" s="197">
        <v>284</v>
      </c>
      <c r="G14" s="197">
        <v>285</v>
      </c>
      <c r="H14" s="197">
        <v>283</v>
      </c>
      <c r="I14" s="197"/>
      <c r="J14" s="197">
        <v>236</v>
      </c>
      <c r="K14" s="197">
        <v>235</v>
      </c>
      <c r="L14" s="197">
        <v>226</v>
      </c>
      <c r="M14" s="197">
        <v>233</v>
      </c>
      <c r="N14" s="197">
        <v>232</v>
      </c>
    </row>
    <row r="15" spans="1:14" x14ac:dyDescent="0.35">
      <c r="A15" s="53" t="s">
        <v>599</v>
      </c>
      <c r="B15" s="199" t="s">
        <v>487</v>
      </c>
      <c r="C15" s="53" t="s">
        <v>601</v>
      </c>
      <c r="D15" s="197">
        <v>25</v>
      </c>
      <c r="E15" s="197">
        <v>25</v>
      </c>
      <c r="F15" s="197">
        <v>25</v>
      </c>
      <c r="G15" s="197">
        <v>25</v>
      </c>
      <c r="H15" s="197">
        <v>25</v>
      </c>
      <c r="I15" s="197"/>
      <c r="J15" s="197">
        <v>25</v>
      </c>
      <c r="K15" s="197">
        <v>25</v>
      </c>
      <c r="L15" s="197">
        <v>25</v>
      </c>
      <c r="M15" s="197">
        <v>25</v>
      </c>
      <c r="N15" s="197">
        <v>25</v>
      </c>
    </row>
    <row r="16" spans="1:14" x14ac:dyDescent="0.35">
      <c r="A16" s="53" t="s">
        <v>599</v>
      </c>
      <c r="B16" s="199" t="s">
        <v>486</v>
      </c>
      <c r="C16" s="53" t="s">
        <v>601</v>
      </c>
      <c r="D16" s="197">
        <v>8</v>
      </c>
      <c r="E16" s="197">
        <v>8</v>
      </c>
      <c r="F16" s="197">
        <v>8</v>
      </c>
      <c r="G16" s="197">
        <v>8</v>
      </c>
      <c r="H16" s="197">
        <v>0</v>
      </c>
      <c r="I16" s="197"/>
      <c r="J16" s="197">
        <v>5</v>
      </c>
      <c r="K16" s="197">
        <v>5</v>
      </c>
      <c r="L16" s="197">
        <v>5</v>
      </c>
      <c r="M16" s="197">
        <v>5</v>
      </c>
      <c r="N16" s="197">
        <v>5</v>
      </c>
    </row>
    <row r="17" spans="1:14" x14ac:dyDescent="0.35">
      <c r="A17" s="53" t="s">
        <v>599</v>
      </c>
      <c r="B17" s="199" t="s">
        <v>602</v>
      </c>
      <c r="C17" s="53" t="s">
        <v>601</v>
      </c>
      <c r="D17" s="197">
        <v>66</v>
      </c>
      <c r="E17" s="197">
        <v>66</v>
      </c>
      <c r="F17" s="197">
        <v>66</v>
      </c>
      <c r="G17" s="197">
        <v>66</v>
      </c>
      <c r="H17" s="197">
        <v>66</v>
      </c>
      <c r="I17" s="197"/>
      <c r="J17" s="197">
        <v>44</v>
      </c>
      <c r="K17" s="197">
        <v>44</v>
      </c>
      <c r="L17" s="197">
        <v>44</v>
      </c>
      <c r="M17" s="197">
        <v>44</v>
      </c>
      <c r="N17" s="197">
        <v>44</v>
      </c>
    </row>
    <row r="18" spans="1:14" x14ac:dyDescent="0.35">
      <c r="A18" s="53" t="s">
        <v>599</v>
      </c>
      <c r="B18" s="199" t="s">
        <v>603</v>
      </c>
      <c r="C18" s="53" t="s">
        <v>601</v>
      </c>
      <c r="D18" s="197">
        <f>82*2</f>
        <v>164</v>
      </c>
      <c r="E18" s="197">
        <v>167</v>
      </c>
      <c r="F18" s="197">
        <v>172</v>
      </c>
      <c r="G18" s="197">
        <v>170</v>
      </c>
      <c r="H18" s="197">
        <v>176</v>
      </c>
      <c r="I18" s="197"/>
      <c r="J18" s="197">
        <f>65*2</f>
        <v>130</v>
      </c>
      <c r="K18" s="197">
        <v>125</v>
      </c>
      <c r="L18" s="197">
        <v>115</v>
      </c>
      <c r="M18" s="197">
        <v>132</v>
      </c>
      <c r="N18" s="197">
        <v>132</v>
      </c>
    </row>
    <row r="19" spans="1:14" x14ac:dyDescent="0.35">
      <c r="A19" s="53" t="s">
        <v>599</v>
      </c>
      <c r="B19" s="199" t="s">
        <v>460</v>
      </c>
      <c r="C19" s="53" t="s">
        <v>604</v>
      </c>
      <c r="D19" s="197">
        <v>47</v>
      </c>
      <c r="E19" s="197">
        <v>42</v>
      </c>
      <c r="F19" s="197">
        <v>42</v>
      </c>
      <c r="G19" s="197">
        <v>47</v>
      </c>
      <c r="H19" s="197">
        <v>46</v>
      </c>
      <c r="I19" s="197"/>
      <c r="J19" s="197">
        <v>48</v>
      </c>
      <c r="K19" s="197">
        <v>4</v>
      </c>
      <c r="L19" s="197">
        <v>47</v>
      </c>
      <c r="M19" s="197">
        <v>48</v>
      </c>
      <c r="N19" s="197">
        <v>43</v>
      </c>
    </row>
    <row r="20" spans="1:14" x14ac:dyDescent="0.35">
      <c r="A20" s="53" t="s">
        <v>599</v>
      </c>
      <c r="B20" s="199" t="s">
        <v>605</v>
      </c>
      <c r="C20" s="53" t="s">
        <v>606</v>
      </c>
      <c r="D20" s="197">
        <v>222</v>
      </c>
      <c r="E20" s="197">
        <v>222</v>
      </c>
      <c r="F20" s="197">
        <v>222</v>
      </c>
      <c r="G20" s="197">
        <v>222</v>
      </c>
      <c r="H20" s="197">
        <v>222</v>
      </c>
      <c r="I20" s="197"/>
      <c r="J20" s="197">
        <v>222</v>
      </c>
      <c r="K20" s="197">
        <v>222</v>
      </c>
      <c r="L20" s="197">
        <v>222</v>
      </c>
      <c r="M20" s="197">
        <v>222</v>
      </c>
      <c r="N20" s="197">
        <v>222</v>
      </c>
    </row>
    <row r="21" spans="1:14" x14ac:dyDescent="0.35">
      <c r="A21" s="53" t="s">
        <v>599</v>
      </c>
      <c r="B21" s="199" t="s">
        <v>455</v>
      </c>
      <c r="C21" s="53" t="s">
        <v>607</v>
      </c>
      <c r="D21" s="197">
        <v>33</v>
      </c>
      <c r="E21" s="197">
        <v>33</v>
      </c>
      <c r="F21" s="197">
        <v>33</v>
      </c>
      <c r="G21" s="197">
        <v>33</v>
      </c>
      <c r="H21" s="197">
        <v>33</v>
      </c>
      <c r="I21" s="197"/>
      <c r="J21" s="197">
        <v>30</v>
      </c>
      <c r="K21" s="197">
        <v>30</v>
      </c>
      <c r="L21" s="197">
        <v>30</v>
      </c>
      <c r="M21" s="197">
        <v>30</v>
      </c>
      <c r="N21" s="197">
        <v>30</v>
      </c>
    </row>
    <row r="22" spans="1:14" x14ac:dyDescent="0.35">
      <c r="A22" s="53" t="s">
        <v>599</v>
      </c>
      <c r="B22" s="199" t="s">
        <v>485</v>
      </c>
      <c r="C22" s="53" t="s">
        <v>607</v>
      </c>
      <c r="D22" s="197">
        <v>86</v>
      </c>
      <c r="E22" s="197">
        <v>86</v>
      </c>
      <c r="F22" s="197">
        <v>86</v>
      </c>
      <c r="G22" s="197">
        <v>86</v>
      </c>
      <c r="H22" s="197">
        <v>86</v>
      </c>
      <c r="I22" s="197"/>
      <c r="J22" s="197">
        <v>77</v>
      </c>
      <c r="K22" s="197">
        <v>77</v>
      </c>
      <c r="L22" s="197">
        <v>77</v>
      </c>
      <c r="M22" s="197">
        <v>77</v>
      </c>
      <c r="N22" s="197">
        <v>77</v>
      </c>
    </row>
    <row r="23" spans="1:14" x14ac:dyDescent="0.35">
      <c r="A23" s="53" t="s">
        <v>599</v>
      </c>
      <c r="B23" s="199" t="s">
        <v>608</v>
      </c>
      <c r="C23" s="53" t="s">
        <v>607</v>
      </c>
      <c r="D23" s="197">
        <v>248</v>
      </c>
      <c r="E23" s="197">
        <v>248</v>
      </c>
      <c r="F23" s="197">
        <v>248</v>
      </c>
      <c r="G23" s="197">
        <v>248</v>
      </c>
      <c r="H23" s="197">
        <v>248</v>
      </c>
      <c r="I23" s="197"/>
      <c r="J23" s="197">
        <v>255</v>
      </c>
      <c r="K23" s="197">
        <v>255</v>
      </c>
      <c r="L23" s="197">
        <v>255</v>
      </c>
      <c r="M23" s="197">
        <v>255</v>
      </c>
      <c r="N23" s="197">
        <v>255</v>
      </c>
    </row>
    <row r="24" spans="1:14" x14ac:dyDescent="0.35">
      <c r="A24" s="53" t="s">
        <v>599</v>
      </c>
      <c r="B24" s="199" t="s">
        <v>609</v>
      </c>
      <c r="C24" s="53" t="s">
        <v>607</v>
      </c>
      <c r="D24" s="197">
        <v>550</v>
      </c>
      <c r="E24" s="197">
        <v>550</v>
      </c>
      <c r="F24" s="197">
        <v>550</v>
      </c>
      <c r="G24" s="197">
        <v>550</v>
      </c>
      <c r="H24" s="197">
        <v>550</v>
      </c>
      <c r="I24" s="197"/>
      <c r="J24" s="197">
        <v>539</v>
      </c>
      <c r="K24" s="197">
        <v>539</v>
      </c>
      <c r="L24" s="197">
        <v>539</v>
      </c>
      <c r="M24" s="197">
        <v>539</v>
      </c>
      <c r="N24" s="197">
        <v>539</v>
      </c>
    </row>
    <row r="25" spans="1:14" x14ac:dyDescent="0.35">
      <c r="A25" s="53" t="s">
        <v>599</v>
      </c>
      <c r="B25" s="199" t="s">
        <v>610</v>
      </c>
      <c r="C25" s="53" t="s">
        <v>607</v>
      </c>
      <c r="D25" s="197">
        <v>165.3</v>
      </c>
      <c r="E25" s="197">
        <v>165</v>
      </c>
      <c r="F25" s="197">
        <v>165</v>
      </c>
      <c r="G25" s="197">
        <v>235</v>
      </c>
      <c r="H25" s="197">
        <v>235</v>
      </c>
      <c r="I25" s="197"/>
      <c r="J25" s="197">
        <v>142</v>
      </c>
      <c r="K25" s="197">
        <v>142</v>
      </c>
      <c r="L25" s="197">
        <v>142</v>
      </c>
      <c r="M25" s="197">
        <v>221</v>
      </c>
      <c r="N25" s="197">
        <v>221</v>
      </c>
    </row>
    <row r="26" spans="1:14" x14ac:dyDescent="0.35">
      <c r="A26" s="53" t="s">
        <v>611</v>
      </c>
      <c r="B26" s="199" t="s">
        <v>458</v>
      </c>
      <c r="C26" s="53" t="s">
        <v>612</v>
      </c>
      <c r="D26" s="197">
        <v>15</v>
      </c>
      <c r="E26" s="197">
        <v>14</v>
      </c>
      <c r="F26" s="197">
        <v>13</v>
      </c>
      <c r="G26" s="197">
        <v>14</v>
      </c>
      <c r="H26" s="197">
        <v>14</v>
      </c>
      <c r="I26" s="197"/>
      <c r="J26" s="197">
        <v>0</v>
      </c>
      <c r="K26" s="197">
        <v>3</v>
      </c>
      <c r="L26" s="197">
        <v>0</v>
      </c>
      <c r="M26" s="197">
        <v>4</v>
      </c>
      <c r="N26" s="197">
        <v>3</v>
      </c>
    </row>
    <row r="27" spans="1:14" x14ac:dyDescent="0.35">
      <c r="A27" s="53" t="s">
        <v>611</v>
      </c>
      <c r="B27" s="199" t="s">
        <v>456</v>
      </c>
      <c r="C27" s="53" t="s">
        <v>612</v>
      </c>
      <c r="D27" s="197">
        <v>28</v>
      </c>
      <c r="E27" s="197">
        <v>14</v>
      </c>
      <c r="F27" s="197">
        <v>20</v>
      </c>
      <c r="G27" s="197">
        <v>22</v>
      </c>
      <c r="H27" s="197">
        <v>18</v>
      </c>
      <c r="I27" s="197"/>
      <c r="J27" s="197">
        <v>6</v>
      </c>
      <c r="K27" s="197">
        <v>5</v>
      </c>
      <c r="L27" s="197">
        <v>6</v>
      </c>
      <c r="M27" s="197">
        <v>6</v>
      </c>
      <c r="N27" s="197">
        <v>6</v>
      </c>
    </row>
    <row r="28" spans="1:14" x14ac:dyDescent="0.35">
      <c r="A28" s="53" t="s">
        <v>611</v>
      </c>
      <c r="B28" s="199" t="s">
        <v>494</v>
      </c>
      <c r="C28" s="53" t="s">
        <v>612</v>
      </c>
      <c r="D28" s="197">
        <v>14</v>
      </c>
      <c r="E28" s="197">
        <v>8</v>
      </c>
      <c r="F28" s="197">
        <v>10</v>
      </c>
      <c r="G28" s="197">
        <v>13</v>
      </c>
      <c r="H28" s="197">
        <v>8</v>
      </c>
      <c r="I28" s="197"/>
      <c r="J28" s="197">
        <v>2</v>
      </c>
      <c r="K28" s="197">
        <v>2</v>
      </c>
      <c r="L28" s="197">
        <v>2</v>
      </c>
      <c r="M28" s="197">
        <v>2</v>
      </c>
      <c r="N28" s="197">
        <v>2</v>
      </c>
    </row>
    <row r="29" spans="1:14" x14ac:dyDescent="0.35">
      <c r="A29" s="53" t="s">
        <v>611</v>
      </c>
      <c r="B29" s="199" t="s">
        <v>457</v>
      </c>
      <c r="C29" s="53" t="s">
        <v>612</v>
      </c>
      <c r="D29" s="197">
        <v>10</v>
      </c>
      <c r="E29" s="197">
        <v>9</v>
      </c>
      <c r="F29" s="197">
        <v>9</v>
      </c>
      <c r="G29" s="197">
        <v>10</v>
      </c>
      <c r="H29" s="197">
        <v>9</v>
      </c>
      <c r="I29" s="197"/>
      <c r="J29" s="197">
        <v>1</v>
      </c>
      <c r="K29" s="197">
        <v>2</v>
      </c>
      <c r="L29" s="197">
        <v>2</v>
      </c>
      <c r="M29" s="197">
        <v>1</v>
      </c>
      <c r="N29" s="197">
        <v>0</v>
      </c>
    </row>
    <row r="30" spans="1:14" x14ac:dyDescent="0.35">
      <c r="A30" s="53" t="s">
        <v>611</v>
      </c>
      <c r="B30" s="199" t="s">
        <v>613</v>
      </c>
      <c r="C30" s="53" t="s">
        <v>614</v>
      </c>
      <c r="D30" s="197">
        <v>8</v>
      </c>
      <c r="E30" s="197">
        <v>2</v>
      </c>
      <c r="F30" s="197">
        <v>1</v>
      </c>
      <c r="G30" s="197">
        <v>45</v>
      </c>
      <c r="H30" s="197">
        <v>36</v>
      </c>
      <c r="I30" s="197"/>
      <c r="J30" s="197">
        <v>3</v>
      </c>
      <c r="K30" s="197">
        <v>1</v>
      </c>
      <c r="L30" s="197">
        <v>31</v>
      </c>
      <c r="M30" s="197">
        <v>7</v>
      </c>
      <c r="N30" s="197">
        <v>4</v>
      </c>
    </row>
    <row r="31" spans="1:14" x14ac:dyDescent="0.35">
      <c r="A31" s="53" t="s">
        <v>611</v>
      </c>
      <c r="B31" s="199" t="s">
        <v>615</v>
      </c>
      <c r="C31" s="53" t="s">
        <v>614</v>
      </c>
      <c r="D31" s="197">
        <v>0</v>
      </c>
      <c r="E31" s="197">
        <v>0</v>
      </c>
      <c r="F31" s="197">
        <v>0</v>
      </c>
      <c r="G31" s="197">
        <v>0</v>
      </c>
      <c r="H31" s="197">
        <v>0</v>
      </c>
      <c r="I31" s="197"/>
      <c r="J31" s="197">
        <v>0</v>
      </c>
      <c r="K31" s="197">
        <v>0</v>
      </c>
      <c r="L31" s="197">
        <v>0</v>
      </c>
      <c r="M31" s="197">
        <v>0</v>
      </c>
      <c r="N31" s="197">
        <v>0</v>
      </c>
    </row>
    <row r="32" spans="1:14" x14ac:dyDescent="0.35">
      <c r="A32" s="53" t="s">
        <v>611</v>
      </c>
      <c r="B32" s="199" t="s">
        <v>490</v>
      </c>
      <c r="C32" s="53" t="s">
        <v>616</v>
      </c>
      <c r="D32" s="197">
        <v>0</v>
      </c>
      <c r="E32" s="197">
        <v>0</v>
      </c>
      <c r="F32" s="197">
        <v>0</v>
      </c>
      <c r="G32" s="197">
        <v>2</v>
      </c>
      <c r="H32" s="197">
        <v>0</v>
      </c>
      <c r="I32" s="197"/>
      <c r="J32" s="197">
        <v>0</v>
      </c>
      <c r="K32" s="197">
        <v>0</v>
      </c>
      <c r="L32" s="197">
        <v>0</v>
      </c>
      <c r="M32" s="197">
        <v>19</v>
      </c>
      <c r="N32" s="197">
        <v>18</v>
      </c>
    </row>
    <row r="33" spans="1:14" x14ac:dyDescent="0.35">
      <c r="A33" s="53" t="s">
        <v>611</v>
      </c>
      <c r="B33" s="199" t="s">
        <v>617</v>
      </c>
      <c r="C33" s="53" t="s">
        <v>618</v>
      </c>
      <c r="D33" s="197">
        <v>26</v>
      </c>
      <c r="E33" s="197">
        <v>12</v>
      </c>
      <c r="F33" s="197">
        <v>27</v>
      </c>
      <c r="G33" s="197">
        <v>27</v>
      </c>
      <c r="H33" s="197">
        <v>24</v>
      </c>
      <c r="I33" s="197"/>
      <c r="J33" s="197">
        <v>15</v>
      </c>
      <c r="K33" s="197">
        <v>14</v>
      </c>
      <c r="L33" s="197">
        <v>10</v>
      </c>
      <c r="M33" s="197">
        <v>11</v>
      </c>
      <c r="N33" s="197">
        <v>14</v>
      </c>
    </row>
    <row r="34" spans="1:14" x14ac:dyDescent="0.35">
      <c r="A34" s="53" t="s">
        <v>611</v>
      </c>
      <c r="B34" s="199" t="s">
        <v>619</v>
      </c>
      <c r="C34" s="53" t="s">
        <v>620</v>
      </c>
      <c r="D34" s="197">
        <v>0</v>
      </c>
      <c r="E34" s="197">
        <v>0</v>
      </c>
      <c r="F34" s="197">
        <v>0</v>
      </c>
      <c r="G34" s="197">
        <v>0</v>
      </c>
      <c r="H34" s="197">
        <v>52</v>
      </c>
      <c r="I34" s="197"/>
      <c r="J34" s="197">
        <v>0</v>
      </c>
      <c r="K34" s="197">
        <v>0</v>
      </c>
      <c r="L34" s="197">
        <v>0</v>
      </c>
      <c r="M34" s="197">
        <v>52</v>
      </c>
      <c r="N34" s="197">
        <v>59</v>
      </c>
    </row>
    <row r="35" spans="1:14" x14ac:dyDescent="0.35">
      <c r="A35" s="53" t="s">
        <v>611</v>
      </c>
      <c r="B35" s="199" t="s">
        <v>621</v>
      </c>
      <c r="C35" s="53" t="s">
        <v>620</v>
      </c>
      <c r="D35" s="197">
        <v>3</v>
      </c>
      <c r="E35" s="197">
        <v>4</v>
      </c>
      <c r="F35" s="197">
        <v>0</v>
      </c>
      <c r="G35" s="197">
        <v>4</v>
      </c>
      <c r="H35" s="197">
        <v>4</v>
      </c>
      <c r="I35" s="197"/>
      <c r="J35" s="197">
        <v>4</v>
      </c>
      <c r="K35" s="197">
        <v>5</v>
      </c>
      <c r="L35" s="197">
        <v>5</v>
      </c>
      <c r="M35" s="197">
        <v>5</v>
      </c>
      <c r="N35" s="197">
        <v>0</v>
      </c>
    </row>
    <row r="36" spans="1:14" x14ac:dyDescent="0.35">
      <c r="A36" s="53" t="s">
        <v>611</v>
      </c>
      <c r="B36" s="199" t="s">
        <v>622</v>
      </c>
      <c r="C36" s="53" t="s">
        <v>623</v>
      </c>
      <c r="D36" s="197">
        <v>4</v>
      </c>
      <c r="E36" s="197">
        <v>4</v>
      </c>
      <c r="F36" s="197">
        <v>5</v>
      </c>
      <c r="G36" s="197">
        <v>3</v>
      </c>
      <c r="H36" s="197">
        <v>2</v>
      </c>
      <c r="I36" s="197"/>
      <c r="J36" s="197">
        <v>3</v>
      </c>
      <c r="K36" s="197">
        <v>4</v>
      </c>
      <c r="L36" s="197">
        <v>3</v>
      </c>
      <c r="M36" s="197">
        <v>3</v>
      </c>
      <c r="N36" s="197">
        <v>4</v>
      </c>
    </row>
    <row r="37" spans="1:14" x14ac:dyDescent="0.35">
      <c r="A37" s="53" t="s">
        <v>599</v>
      </c>
      <c r="B37" s="199" t="s">
        <v>624</v>
      </c>
      <c r="C37" s="53" t="s">
        <v>625</v>
      </c>
      <c r="D37" s="197">
        <v>-199</v>
      </c>
      <c r="E37" s="197">
        <v>-49</v>
      </c>
      <c r="F37" s="197">
        <v>-49</v>
      </c>
      <c r="G37" s="197">
        <v>-97</v>
      </c>
      <c r="H37" s="197">
        <v>-57</v>
      </c>
      <c r="I37" s="197"/>
      <c r="J37" s="197">
        <v>-201</v>
      </c>
      <c r="K37" s="197">
        <v>-51</v>
      </c>
      <c r="L37" s="197">
        <v>-51</v>
      </c>
      <c r="M37" s="197">
        <v>-99</v>
      </c>
      <c r="N37" s="197">
        <v>-55</v>
      </c>
    </row>
    <row r="38" spans="1:14" x14ac:dyDescent="0.35">
      <c r="A38" s="53" t="s">
        <v>599</v>
      </c>
      <c r="B38" s="199" t="s">
        <v>626</v>
      </c>
      <c r="C38" s="53" t="s">
        <v>625</v>
      </c>
      <c r="D38" s="197">
        <v>0</v>
      </c>
      <c r="E38" s="197">
        <v>0</v>
      </c>
      <c r="F38" s="197">
        <v>0</v>
      </c>
      <c r="G38" s="197">
        <v>0</v>
      </c>
      <c r="H38" s="197">
        <v>0</v>
      </c>
      <c r="I38" s="197"/>
      <c r="J38" s="197">
        <v>0</v>
      </c>
      <c r="K38" s="197">
        <v>0</v>
      </c>
      <c r="L38" s="197">
        <v>0</v>
      </c>
      <c r="M38" s="197">
        <v>0</v>
      </c>
      <c r="N38" s="197">
        <v>0</v>
      </c>
    </row>
    <row r="39" spans="1:14" s="79" customFormat="1" ht="13.15" x14ac:dyDescent="0.4">
      <c r="C39" s="79" t="s">
        <v>5</v>
      </c>
      <c r="D39" s="200">
        <f t="shared" ref="D39:G39" si="0">SUM(D13:D38)</f>
        <v>2124.3000000000002</v>
      </c>
      <c r="E39" s="200">
        <f t="shared" si="0"/>
        <v>2232</v>
      </c>
      <c r="F39" s="200">
        <f t="shared" si="0"/>
        <v>2254</v>
      </c>
      <c r="G39" s="200">
        <f t="shared" si="0"/>
        <v>2269</v>
      </c>
      <c r="H39" s="200">
        <f>SUM(H13:H38)</f>
        <v>2358</v>
      </c>
      <c r="I39" s="200"/>
      <c r="J39" s="200">
        <f t="shared" ref="J39:N39" si="1">SUM(J13:J38)</f>
        <v>1865</v>
      </c>
      <c r="K39" s="200">
        <f t="shared" si="1"/>
        <v>1969</v>
      </c>
      <c r="L39" s="200">
        <f t="shared" si="1"/>
        <v>2013</v>
      </c>
      <c r="M39" s="200">
        <f t="shared" si="1"/>
        <v>2103</v>
      </c>
      <c r="N39" s="200">
        <f t="shared" si="1"/>
        <v>2152</v>
      </c>
    </row>
    <row r="41" spans="1:14" x14ac:dyDescent="0.35">
      <c r="C41" s="53" t="s">
        <v>627</v>
      </c>
      <c r="D41" s="201">
        <f>(D39-D6)/D6</f>
        <v>0.28356495468277959</v>
      </c>
      <c r="E41" s="201">
        <f>(E39-E6)/E6</f>
        <v>0.32778108268887568</v>
      </c>
      <c r="F41" s="201">
        <f>(F39-F6)/F6</f>
        <v>0.4495176848874598</v>
      </c>
      <c r="G41" s="201">
        <f>(G39-G6)/G6</f>
        <v>0.41635455680399502</v>
      </c>
      <c r="H41" s="201">
        <f>(H39-H6)/H6</f>
        <v>0.46187228766274024</v>
      </c>
      <c r="J41" s="201">
        <f>(J39-J6)/J6</f>
        <v>0.1751732829237555</v>
      </c>
      <c r="K41" s="201">
        <f>(K39-K6)/K6</f>
        <v>0.23370927318295739</v>
      </c>
      <c r="L41" s="201">
        <f>(L39-L6)/L6</f>
        <v>0.17307692307692307</v>
      </c>
      <c r="M41" s="201">
        <f>(M39-M6)/M6</f>
        <v>0.26992753623188404</v>
      </c>
      <c r="N41" s="201">
        <f>(N39-N6)/N6</f>
        <v>0.25043579314352121</v>
      </c>
    </row>
    <row r="43" spans="1:14" x14ac:dyDescent="0.35">
      <c r="C43" s="53" t="s">
        <v>628</v>
      </c>
      <c r="D43" s="201">
        <f>(D39-D4)/D4</f>
        <v>0.24958823529411775</v>
      </c>
      <c r="E43" s="201">
        <f>(E39-E4)/E4</f>
        <v>0.31062830299471522</v>
      </c>
      <c r="F43" s="201">
        <f>(F39-F4)/F4</f>
        <v>0.33372781065088758</v>
      </c>
      <c r="G43" s="201">
        <f>(G39-G4)/G4</f>
        <v>0.35868263473053891</v>
      </c>
      <c r="H43" s="201">
        <f>(H39-H4)/H4</f>
        <v>0.36695652173913046</v>
      </c>
      <c r="J43" s="201">
        <f>(J39-J4)/J4</f>
        <v>0.18187579214195185</v>
      </c>
      <c r="K43" s="201">
        <f>(K39-K4)/K4</f>
        <v>0.24699176694110198</v>
      </c>
      <c r="L43" s="201">
        <f>(L39-L4)/L4</f>
        <v>0.24566831683168316</v>
      </c>
      <c r="M43" s="201">
        <f>(M39-M4)/M4</f>
        <v>0.278419452887538</v>
      </c>
      <c r="N43" s="201">
        <f>(N39-N4)/N4</f>
        <v>0.31379731379731379</v>
      </c>
    </row>
  </sheetData>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23E7-C95E-46A0-8050-14FE07596CD7}">
  <dimension ref="A1:N58"/>
  <sheetViews>
    <sheetView topLeftCell="A7" workbookViewId="0">
      <selection activeCell="O33" sqref="O33"/>
    </sheetView>
  </sheetViews>
  <sheetFormatPr defaultRowHeight="14.25" x14ac:dyDescent="0.45"/>
  <cols>
    <col min="1" max="1" width="21.86328125" customWidth="1"/>
    <col min="2" max="2" width="11.1328125" bestFit="1" customWidth="1"/>
    <col min="3" max="3" width="11.3984375" bestFit="1" customWidth="1"/>
    <col min="4" max="5" width="10.86328125" bestFit="1" customWidth="1"/>
    <col min="6" max="6" width="11.3984375" bestFit="1" customWidth="1"/>
    <col min="7" max="7" width="9.86328125" bestFit="1" customWidth="1"/>
    <col min="8" max="10" width="8.86328125" customWidth="1"/>
  </cols>
  <sheetData>
    <row r="1" spans="1:14" x14ac:dyDescent="0.45">
      <c r="A1" s="82" t="s">
        <v>479</v>
      </c>
    </row>
    <row r="2" spans="1:14" x14ac:dyDescent="0.45">
      <c r="A2" t="s">
        <v>480</v>
      </c>
      <c r="H2" t="s">
        <v>481</v>
      </c>
    </row>
    <row r="4" spans="1:14" x14ac:dyDescent="0.45">
      <c r="A4" t="s">
        <v>482</v>
      </c>
      <c r="B4" s="84">
        <v>2016</v>
      </c>
      <c r="C4" s="84">
        <v>2017</v>
      </c>
      <c r="D4" s="84">
        <v>2018</v>
      </c>
      <c r="E4" s="84">
        <v>2019</v>
      </c>
      <c r="F4" s="84">
        <v>2020</v>
      </c>
      <c r="H4" s="84">
        <v>2016</v>
      </c>
      <c r="I4" s="84">
        <v>2017</v>
      </c>
      <c r="J4" s="84">
        <v>2018</v>
      </c>
      <c r="K4" s="84">
        <v>2019</v>
      </c>
      <c r="L4" s="84">
        <v>2020</v>
      </c>
    </row>
    <row r="5" spans="1:14" x14ac:dyDescent="0.45">
      <c r="A5" t="s">
        <v>455</v>
      </c>
      <c r="B5" s="4">
        <v>182385</v>
      </c>
      <c r="C5" s="4">
        <v>183422</v>
      </c>
      <c r="D5" s="4">
        <v>166423</v>
      </c>
      <c r="E5" s="4">
        <v>163998</v>
      </c>
      <c r="F5" s="4">
        <v>212533</v>
      </c>
      <c r="G5" s="1"/>
      <c r="H5" s="1">
        <f>B5/8784</f>
        <v>20.763319672131146</v>
      </c>
      <c r="I5" s="1">
        <f>C5/8760</f>
        <v>20.938584474885843</v>
      </c>
      <c r="J5" s="1">
        <f>D5/8760</f>
        <v>18.998059360730593</v>
      </c>
      <c r="K5" s="1">
        <f>E5/8760</f>
        <v>18.721232876712328</v>
      </c>
      <c r="L5" s="1">
        <f>F5/8784</f>
        <v>24.195469034608379</v>
      </c>
      <c r="N5" t="s">
        <v>483</v>
      </c>
    </row>
    <row r="6" spans="1:14" x14ac:dyDescent="0.45">
      <c r="A6" t="s">
        <v>484</v>
      </c>
      <c r="B6" s="4">
        <v>1307455</v>
      </c>
      <c r="C6" s="4">
        <v>1327246</v>
      </c>
      <c r="D6" s="4">
        <v>1591393</v>
      </c>
      <c r="E6" s="4">
        <v>1798155</v>
      </c>
      <c r="F6" s="4">
        <v>1684827</v>
      </c>
      <c r="G6" s="1"/>
      <c r="H6" s="1">
        <f t="shared" ref="H6:H37" si="0">B6/8784</f>
        <v>148.8450591985428</v>
      </c>
      <c r="I6" s="1">
        <f t="shared" ref="I6:K37" si="1">C6/8760</f>
        <v>151.512100456621</v>
      </c>
      <c r="J6" s="1">
        <f t="shared" si="1"/>
        <v>181.66586757990868</v>
      </c>
      <c r="K6" s="1">
        <f t="shared" si="1"/>
        <v>205.26883561643837</v>
      </c>
      <c r="L6" s="1">
        <f t="shared" ref="L6:L37" si="2">F6/8784</f>
        <v>191.80635245901638</v>
      </c>
    </row>
    <row r="7" spans="1:14" x14ac:dyDescent="0.45">
      <c r="A7" t="s">
        <v>456</v>
      </c>
      <c r="B7" s="4">
        <v>108780</v>
      </c>
      <c r="C7" s="4">
        <v>114367</v>
      </c>
      <c r="D7" s="4">
        <v>143308</v>
      </c>
      <c r="E7" s="4">
        <v>119575</v>
      </c>
      <c r="F7" s="4">
        <v>117927</v>
      </c>
      <c r="G7" s="1"/>
      <c r="H7" s="1">
        <f t="shared" si="0"/>
        <v>12.383879781420765</v>
      </c>
      <c r="I7" s="1">
        <f t="shared" si="1"/>
        <v>13.055593607305935</v>
      </c>
      <c r="J7" s="1">
        <f t="shared" si="1"/>
        <v>16.359360730593608</v>
      </c>
      <c r="K7" s="1">
        <f t="shared" si="1"/>
        <v>13.650114155251142</v>
      </c>
      <c r="L7" s="1">
        <f t="shared" si="2"/>
        <v>13.425204918032787</v>
      </c>
    </row>
    <row r="8" spans="1:14" x14ac:dyDescent="0.45">
      <c r="A8" t="s">
        <v>485</v>
      </c>
      <c r="B8" s="4">
        <v>525331</v>
      </c>
      <c r="C8" s="4">
        <v>508341</v>
      </c>
      <c r="D8" s="4">
        <v>505089</v>
      </c>
      <c r="E8" s="4">
        <v>438456</v>
      </c>
      <c r="F8" s="4">
        <v>502673</v>
      </c>
      <c r="G8" s="1"/>
      <c r="H8" s="1">
        <f t="shared" si="0"/>
        <v>59.805441712204008</v>
      </c>
      <c r="I8" s="1">
        <f t="shared" si="1"/>
        <v>58.029794520547945</v>
      </c>
      <c r="J8" s="1">
        <f t="shared" si="1"/>
        <v>57.658561643835618</v>
      </c>
      <c r="K8" s="1">
        <f t="shared" si="1"/>
        <v>50.052054794520551</v>
      </c>
      <c r="L8" s="1">
        <f t="shared" si="2"/>
        <v>57.225979052823313</v>
      </c>
    </row>
    <row r="9" spans="1:14" x14ac:dyDescent="0.45">
      <c r="A9" t="s">
        <v>457</v>
      </c>
      <c r="B9" s="4">
        <v>62708</v>
      </c>
      <c r="C9" s="4">
        <v>68396</v>
      </c>
      <c r="D9" s="4">
        <v>61161</v>
      </c>
      <c r="E9" s="4">
        <v>66538</v>
      </c>
      <c r="F9" s="4">
        <v>58141</v>
      </c>
      <c r="G9" s="1"/>
      <c r="H9" s="1">
        <f t="shared" si="0"/>
        <v>7.1388888888888893</v>
      </c>
      <c r="I9" s="1">
        <f t="shared" si="1"/>
        <v>7.8077625570776252</v>
      </c>
      <c r="J9" s="1">
        <f t="shared" si="1"/>
        <v>6.9818493150684935</v>
      </c>
      <c r="K9" s="1">
        <f t="shared" si="1"/>
        <v>7.5956621004566207</v>
      </c>
      <c r="L9" s="1">
        <f t="shared" si="2"/>
        <v>6.6189663023679417</v>
      </c>
    </row>
    <row r="10" spans="1:14" x14ac:dyDescent="0.45">
      <c r="A10" t="s">
        <v>458</v>
      </c>
      <c r="B10" s="88">
        <v>96851</v>
      </c>
      <c r="C10" s="4">
        <v>95459</v>
      </c>
      <c r="D10" s="4">
        <v>81033</v>
      </c>
      <c r="E10" s="4">
        <v>98076</v>
      </c>
      <c r="F10" s="4">
        <v>83100</v>
      </c>
      <c r="G10" s="1"/>
      <c r="H10" s="1">
        <f t="shared" si="0"/>
        <v>11.025842440801457</v>
      </c>
      <c r="I10" s="1">
        <f t="shared" si="1"/>
        <v>10.89714611872146</v>
      </c>
      <c r="J10" s="1">
        <f t="shared" si="1"/>
        <v>9.250342465753425</v>
      </c>
      <c r="K10" s="1">
        <f t="shared" si="1"/>
        <v>11.195890410958905</v>
      </c>
      <c r="L10" s="1">
        <f t="shared" si="2"/>
        <v>9.4603825136612016</v>
      </c>
    </row>
    <row r="11" spans="1:14" x14ac:dyDescent="0.45">
      <c r="A11" t="s">
        <v>459</v>
      </c>
      <c r="B11" s="4">
        <v>1087</v>
      </c>
      <c r="C11" s="4">
        <v>390</v>
      </c>
      <c r="D11" s="4">
        <v>1515</v>
      </c>
      <c r="E11" s="4">
        <v>3459</v>
      </c>
      <c r="F11" s="4">
        <v>666</v>
      </c>
      <c r="G11" s="1"/>
      <c r="H11" s="1">
        <f t="shared" si="0"/>
        <v>0.12374772313296903</v>
      </c>
      <c r="I11" s="1">
        <f t="shared" si="1"/>
        <v>4.4520547945205477E-2</v>
      </c>
      <c r="J11" s="1">
        <f t="shared" si="1"/>
        <v>0.17294520547945205</v>
      </c>
      <c r="K11" s="1">
        <f t="shared" si="1"/>
        <v>0.39486301369863014</v>
      </c>
      <c r="L11" s="1">
        <f t="shared" si="2"/>
        <v>7.5819672131147542E-2</v>
      </c>
    </row>
    <row r="12" spans="1:14" x14ac:dyDescent="0.45">
      <c r="A12" t="s">
        <v>460</v>
      </c>
      <c r="B12" s="4">
        <v>341370</v>
      </c>
      <c r="C12" s="4">
        <v>290117</v>
      </c>
      <c r="D12" s="4">
        <v>336936</v>
      </c>
      <c r="E12" s="4">
        <v>316112</v>
      </c>
      <c r="F12" s="89">
        <v>264851</v>
      </c>
      <c r="G12" s="1"/>
      <c r="H12" s="1">
        <f t="shared" si="0"/>
        <v>38.86270491803279</v>
      </c>
      <c r="I12" s="1">
        <f t="shared" si="1"/>
        <v>33.118378995433787</v>
      </c>
      <c r="J12" s="1">
        <f t="shared" si="1"/>
        <v>38.463013698630135</v>
      </c>
      <c r="K12" s="1">
        <f t="shared" si="1"/>
        <v>36.085844748858449</v>
      </c>
      <c r="L12" s="1">
        <f t="shared" si="2"/>
        <v>30.151525500910747</v>
      </c>
    </row>
    <row r="13" spans="1:14" x14ac:dyDescent="0.45">
      <c r="A13" t="s">
        <v>486</v>
      </c>
      <c r="B13" s="4">
        <v>3468</v>
      </c>
      <c r="C13" s="4">
        <v>5000</v>
      </c>
      <c r="D13" s="4">
        <v>8118</v>
      </c>
      <c r="E13" s="4">
        <v>18274</v>
      </c>
      <c r="F13" s="4">
        <v>1235</v>
      </c>
      <c r="G13" s="1"/>
      <c r="H13" s="1">
        <f t="shared" si="0"/>
        <v>0.3948087431693989</v>
      </c>
      <c r="I13" s="1">
        <f t="shared" si="1"/>
        <v>0.57077625570776258</v>
      </c>
      <c r="J13" s="1">
        <f t="shared" si="1"/>
        <v>0.92671232876712328</v>
      </c>
      <c r="K13" s="1">
        <f t="shared" si="1"/>
        <v>2.0860730593607304</v>
      </c>
      <c r="L13" s="1">
        <f t="shared" si="2"/>
        <v>0.14059653916211293</v>
      </c>
    </row>
    <row r="14" spans="1:14" x14ac:dyDescent="0.45">
      <c r="A14" t="s">
        <v>487</v>
      </c>
      <c r="B14" s="4">
        <v>18358</v>
      </c>
      <c r="C14" s="4">
        <v>26649</v>
      </c>
      <c r="D14" s="4">
        <v>47931</v>
      </c>
      <c r="E14" s="4">
        <v>66910</v>
      </c>
      <c r="F14" s="4">
        <v>48140</v>
      </c>
      <c r="G14" s="1"/>
      <c r="H14" s="1">
        <f t="shared" si="0"/>
        <v>2.0899362477231329</v>
      </c>
      <c r="I14" s="1">
        <f t="shared" si="1"/>
        <v>3.0421232876712327</v>
      </c>
      <c r="J14" s="1">
        <f t="shared" si="1"/>
        <v>5.4715753424657532</v>
      </c>
      <c r="K14" s="1">
        <f t="shared" si="1"/>
        <v>7.6381278538812785</v>
      </c>
      <c r="L14" s="1">
        <f t="shared" si="2"/>
        <v>5.4804189435336976</v>
      </c>
    </row>
    <row r="15" spans="1:14" x14ac:dyDescent="0.45">
      <c r="A15" t="s">
        <v>461</v>
      </c>
      <c r="B15" s="4">
        <v>54960</v>
      </c>
      <c r="C15" s="4">
        <v>45390</v>
      </c>
      <c r="D15" s="4">
        <v>49931.000000000007</v>
      </c>
      <c r="E15" s="4">
        <v>36888</v>
      </c>
      <c r="F15" s="4">
        <v>47621</v>
      </c>
      <c r="G15" s="1"/>
      <c r="H15" s="1">
        <f t="shared" si="0"/>
        <v>6.2568306010928962</v>
      </c>
      <c r="I15" s="1">
        <f t="shared" si="1"/>
        <v>5.1815068493150687</v>
      </c>
      <c r="J15" s="1">
        <f t="shared" si="1"/>
        <v>5.6998858447488594</v>
      </c>
      <c r="K15" s="1">
        <f t="shared" si="1"/>
        <v>4.2109589041095887</v>
      </c>
      <c r="L15" s="1">
        <f t="shared" si="2"/>
        <v>5.4213342440801453</v>
      </c>
    </row>
    <row r="16" spans="1:14" x14ac:dyDescent="0.45">
      <c r="A16" t="s">
        <v>488</v>
      </c>
      <c r="B16" s="4">
        <v>122485</v>
      </c>
      <c r="C16" s="4">
        <v>115875</v>
      </c>
      <c r="D16" s="4">
        <v>123284</v>
      </c>
      <c r="E16" s="4">
        <v>121032</v>
      </c>
      <c r="F16" s="4">
        <v>125281</v>
      </c>
      <c r="G16" s="1"/>
      <c r="H16" s="1">
        <f t="shared" si="0"/>
        <v>13.9441029143898</v>
      </c>
      <c r="I16" s="1">
        <f t="shared" si="1"/>
        <v>13.227739726027398</v>
      </c>
      <c r="J16" s="1">
        <f t="shared" si="1"/>
        <v>14.073515981735159</v>
      </c>
      <c r="K16" s="1">
        <f t="shared" si="1"/>
        <v>13.816438356164383</v>
      </c>
      <c r="L16" s="1">
        <f t="shared" si="2"/>
        <v>14.262408925318761</v>
      </c>
    </row>
    <row r="17" spans="1:12" x14ac:dyDescent="0.45">
      <c r="A17" t="s">
        <v>489</v>
      </c>
      <c r="B17" s="4">
        <f>934235-77490</f>
        <v>856745</v>
      </c>
      <c r="C17" s="4">
        <f>948520-33795</f>
        <v>914725</v>
      </c>
      <c r="D17" s="4">
        <f>1021453-77315</f>
        <v>944138</v>
      </c>
      <c r="E17" s="4">
        <f>1027368-44295</f>
        <v>983073</v>
      </c>
      <c r="F17" s="4">
        <f>1275274-421632</f>
        <v>853642</v>
      </c>
      <c r="G17" s="1"/>
      <c r="H17" s="1">
        <f t="shared" si="0"/>
        <v>97.534722222222229</v>
      </c>
      <c r="I17" s="1">
        <f t="shared" si="1"/>
        <v>104.42066210045662</v>
      </c>
      <c r="J17" s="1">
        <f t="shared" si="1"/>
        <v>107.77831050228311</v>
      </c>
      <c r="K17" s="1">
        <f t="shared" si="1"/>
        <v>112.22294520547945</v>
      </c>
      <c r="L17" s="1">
        <f t="shared" si="2"/>
        <v>97.181466302367937</v>
      </c>
    </row>
    <row r="18" spans="1:12" x14ac:dyDescent="0.45">
      <c r="A18" t="s">
        <v>490</v>
      </c>
      <c r="B18" s="4">
        <v>0</v>
      </c>
      <c r="C18" s="4">
        <v>0</v>
      </c>
      <c r="D18" s="4">
        <v>1614</v>
      </c>
      <c r="E18" s="4">
        <v>42346</v>
      </c>
      <c r="F18" s="4">
        <v>45281</v>
      </c>
      <c r="G18" s="1"/>
      <c r="H18" s="1">
        <f t="shared" si="0"/>
        <v>0</v>
      </c>
      <c r="I18" s="1">
        <f t="shared" si="1"/>
        <v>0</v>
      </c>
      <c r="J18" s="1">
        <f t="shared" si="1"/>
        <v>0.18424657534246575</v>
      </c>
      <c r="K18" s="1">
        <f t="shared" si="1"/>
        <v>4.834018264840183</v>
      </c>
      <c r="L18" s="1">
        <f t="shared" si="2"/>
        <v>5.1549408014571947</v>
      </c>
    </row>
    <row r="19" spans="1:12" x14ac:dyDescent="0.45">
      <c r="A19" t="s">
        <v>463</v>
      </c>
      <c r="B19" s="4">
        <v>0</v>
      </c>
      <c r="C19" s="4">
        <v>0</v>
      </c>
      <c r="D19" s="4">
        <v>0</v>
      </c>
      <c r="E19" s="4">
        <v>0</v>
      </c>
      <c r="F19" s="4">
        <v>37157</v>
      </c>
      <c r="G19" s="1"/>
      <c r="H19" s="1">
        <f t="shared" si="0"/>
        <v>0</v>
      </c>
      <c r="I19" s="1">
        <f t="shared" si="1"/>
        <v>0</v>
      </c>
      <c r="J19" s="1">
        <f t="shared" si="1"/>
        <v>0</v>
      </c>
      <c r="K19" s="1">
        <f t="shared" si="1"/>
        <v>0</v>
      </c>
      <c r="L19" s="1">
        <f t="shared" si="2"/>
        <v>4.2300774134790524</v>
      </c>
    </row>
    <row r="20" spans="1:12" x14ac:dyDescent="0.45">
      <c r="A20" t="s">
        <v>491</v>
      </c>
      <c r="B20" s="4">
        <v>349771</v>
      </c>
      <c r="C20" s="4">
        <v>300411</v>
      </c>
      <c r="D20" s="4">
        <v>327172</v>
      </c>
      <c r="E20" s="4">
        <v>302136</v>
      </c>
      <c r="F20" s="4">
        <v>370142</v>
      </c>
      <c r="G20" s="1"/>
      <c r="H20" s="1">
        <f t="shared" si="0"/>
        <v>39.819102914389802</v>
      </c>
      <c r="I20" s="1">
        <f t="shared" si="1"/>
        <v>34.293493150684931</v>
      </c>
      <c r="J20" s="1">
        <f t="shared" si="1"/>
        <v>37.348401826484022</v>
      </c>
      <c r="K20" s="1">
        <f t="shared" si="1"/>
        <v>34.490410958904107</v>
      </c>
      <c r="L20" s="1">
        <f t="shared" si="2"/>
        <v>42.138205828779597</v>
      </c>
    </row>
    <row r="21" spans="1:12" x14ac:dyDescent="0.45">
      <c r="A21" t="s">
        <v>464</v>
      </c>
      <c r="B21" s="4">
        <v>10034.27</v>
      </c>
      <c r="C21" s="4">
        <v>11024.87</v>
      </c>
      <c r="D21" s="4">
        <v>10212.51</v>
      </c>
      <c r="E21" s="4">
        <v>9414.32</v>
      </c>
      <c r="F21" s="4">
        <v>11444.71</v>
      </c>
      <c r="G21" s="1"/>
      <c r="H21" s="1">
        <f t="shared" si="0"/>
        <v>1.142334927140255</v>
      </c>
      <c r="I21" s="1">
        <f t="shared" si="1"/>
        <v>1.2585468036529681</v>
      </c>
      <c r="J21" s="1">
        <f t="shared" si="1"/>
        <v>1.1658116438356165</v>
      </c>
      <c r="K21" s="1">
        <f t="shared" si="1"/>
        <v>1.0746940639269407</v>
      </c>
      <c r="L21" s="1">
        <f t="shared" si="2"/>
        <v>1.3029041438979962</v>
      </c>
    </row>
    <row r="22" spans="1:12" x14ac:dyDescent="0.45">
      <c r="A22" t="s">
        <v>465</v>
      </c>
      <c r="B22" s="88">
        <v>0</v>
      </c>
      <c r="C22" s="88">
        <v>121.44</v>
      </c>
      <c r="D22" s="88">
        <v>127.5</v>
      </c>
      <c r="E22" s="88">
        <v>139.08000000000001</v>
      </c>
      <c r="F22" s="88">
        <v>322.2</v>
      </c>
      <c r="G22" s="1"/>
      <c r="H22" s="1">
        <f t="shared" si="0"/>
        <v>0</v>
      </c>
      <c r="I22" s="1">
        <f t="shared" si="1"/>
        <v>1.3863013698630137E-2</v>
      </c>
      <c r="J22" s="1">
        <f t="shared" si="1"/>
        <v>1.4554794520547944E-2</v>
      </c>
      <c r="K22" s="1">
        <f t="shared" si="1"/>
        <v>1.5876712328767126E-2</v>
      </c>
      <c r="L22" s="1">
        <f t="shared" si="2"/>
        <v>3.6680327868852461E-2</v>
      </c>
    </row>
    <row r="23" spans="1:12" x14ac:dyDescent="0.45">
      <c r="A23" t="s">
        <v>466</v>
      </c>
      <c r="B23" s="88">
        <v>10607.07034</v>
      </c>
      <c r="C23" s="88">
        <v>7313.3421900000003</v>
      </c>
      <c r="D23" s="88">
        <v>6223.8453100000006</v>
      </c>
      <c r="E23" s="88">
        <v>6804.3608700000013</v>
      </c>
      <c r="F23" s="88">
        <v>8356.1369100000029</v>
      </c>
      <c r="G23" s="1"/>
      <c r="H23" s="1">
        <f t="shared" si="0"/>
        <v>1.2075444376138433</v>
      </c>
      <c r="I23" s="1">
        <f t="shared" si="1"/>
        <v>0.83485641438356173</v>
      </c>
      <c r="J23" s="1">
        <f t="shared" si="1"/>
        <v>0.71048462442922378</v>
      </c>
      <c r="K23" s="1">
        <f t="shared" si="1"/>
        <v>0.77675352397260289</v>
      </c>
      <c r="L23" s="1">
        <f t="shared" si="2"/>
        <v>0.95129063183060147</v>
      </c>
    </row>
    <row r="24" spans="1:12" x14ac:dyDescent="0.45">
      <c r="A24" t="s">
        <v>467</v>
      </c>
      <c r="B24" s="4">
        <v>42.408000000000001</v>
      </c>
      <c r="C24" s="4">
        <v>48.276000000000003</v>
      </c>
      <c r="D24" s="4">
        <v>56.042999999999999</v>
      </c>
      <c r="E24" s="4">
        <v>25.532</v>
      </c>
      <c r="F24" s="4">
        <v>26.538</v>
      </c>
      <c r="G24" s="1"/>
      <c r="H24" s="1">
        <f t="shared" si="0"/>
        <v>4.8278688524590165E-3</v>
      </c>
      <c r="I24" s="1">
        <f t="shared" si="1"/>
        <v>5.5109589041095891E-3</v>
      </c>
      <c r="J24" s="1">
        <f t="shared" si="1"/>
        <v>6.3976027397260275E-3</v>
      </c>
      <c r="K24" s="1">
        <f t="shared" si="1"/>
        <v>2.9146118721461189E-3</v>
      </c>
      <c r="L24" s="1">
        <f t="shared" si="2"/>
        <v>3.021174863387978E-3</v>
      </c>
    </row>
    <row r="25" spans="1:12" x14ac:dyDescent="0.45">
      <c r="A25" t="s">
        <v>492</v>
      </c>
      <c r="B25" s="88">
        <v>1695642</v>
      </c>
      <c r="C25" s="88">
        <v>1866144</v>
      </c>
      <c r="D25" s="88">
        <v>1840622</v>
      </c>
      <c r="E25" s="88">
        <v>1573513</v>
      </c>
      <c r="F25" s="88">
        <v>1596412</v>
      </c>
      <c r="G25" s="1"/>
      <c r="H25" s="1">
        <f t="shared" si="0"/>
        <v>193.03756830601094</v>
      </c>
      <c r="I25" s="1">
        <f t="shared" si="1"/>
        <v>213.03013698630136</v>
      </c>
      <c r="J25" s="1">
        <f t="shared" si="1"/>
        <v>210.11666666666667</v>
      </c>
      <c r="K25" s="1">
        <f t="shared" si="1"/>
        <v>179.62477168949772</v>
      </c>
      <c r="L25" s="1">
        <f t="shared" si="2"/>
        <v>181.74089253187614</v>
      </c>
    </row>
    <row r="26" spans="1:12" x14ac:dyDescent="0.45">
      <c r="A26" t="s">
        <v>493</v>
      </c>
      <c r="B26" s="88">
        <v>1075975</v>
      </c>
      <c r="C26" s="88">
        <v>1062811</v>
      </c>
      <c r="D26" s="88">
        <v>1159246</v>
      </c>
      <c r="E26" s="88">
        <v>991068</v>
      </c>
      <c r="F26" s="88">
        <v>1002706</v>
      </c>
      <c r="G26" s="1"/>
      <c r="H26" s="1">
        <f t="shared" si="0"/>
        <v>122.49260018214936</v>
      </c>
      <c r="I26" s="1">
        <f t="shared" si="1"/>
        <v>121.32545662100456</v>
      </c>
      <c r="J26" s="1">
        <f t="shared" si="1"/>
        <v>132.33401826484018</v>
      </c>
      <c r="K26" s="1">
        <f t="shared" si="1"/>
        <v>113.13561643835617</v>
      </c>
      <c r="L26" s="1">
        <f t="shared" si="2"/>
        <v>114.15141165755919</v>
      </c>
    </row>
    <row r="27" spans="1:12" x14ac:dyDescent="0.45">
      <c r="A27" t="s">
        <v>494</v>
      </c>
      <c r="B27" s="88">
        <v>88444</v>
      </c>
      <c r="C27" s="88">
        <v>79120</v>
      </c>
      <c r="D27" s="88">
        <v>72493</v>
      </c>
      <c r="E27" s="88">
        <v>68660</v>
      </c>
      <c r="F27" s="88">
        <v>77008</v>
      </c>
      <c r="G27" s="1"/>
      <c r="H27" s="1">
        <f t="shared" si="0"/>
        <v>10.068761384335154</v>
      </c>
      <c r="I27" s="1">
        <f t="shared" si="1"/>
        <v>9.031963470319635</v>
      </c>
      <c r="J27" s="1">
        <f t="shared" si="1"/>
        <v>8.275456621004567</v>
      </c>
      <c r="K27" s="1">
        <f t="shared" si="1"/>
        <v>7.8378995433789953</v>
      </c>
      <c r="L27" s="1">
        <f t="shared" si="2"/>
        <v>8.7668488160291442</v>
      </c>
    </row>
    <row r="28" spans="1:12" x14ac:dyDescent="0.45">
      <c r="A28" t="s">
        <v>495</v>
      </c>
      <c r="B28" s="88">
        <v>424645</v>
      </c>
      <c r="C28" s="88">
        <v>366998</v>
      </c>
      <c r="D28" s="88">
        <v>375387</v>
      </c>
      <c r="E28" s="88">
        <v>420916</v>
      </c>
      <c r="F28" s="88">
        <v>426954</v>
      </c>
      <c r="G28" s="1"/>
      <c r="H28" s="1">
        <f t="shared" si="0"/>
        <v>48.343010018214933</v>
      </c>
      <c r="I28" s="1">
        <f t="shared" si="1"/>
        <v>41.894748858447485</v>
      </c>
      <c r="J28" s="1">
        <f t="shared" si="1"/>
        <v>42.852397260273975</v>
      </c>
      <c r="K28" s="1">
        <f t="shared" si="1"/>
        <v>48.049771689497717</v>
      </c>
      <c r="L28" s="1">
        <f t="shared" si="2"/>
        <v>48.605874316939889</v>
      </c>
    </row>
    <row r="29" spans="1:12" x14ac:dyDescent="0.45">
      <c r="A29" t="s">
        <v>496</v>
      </c>
      <c r="B29" s="88">
        <v>2706.0070000000001</v>
      </c>
      <c r="C29" s="88">
        <v>3002.6950000000002</v>
      </c>
      <c r="D29" s="88">
        <v>2736.54</v>
      </c>
      <c r="E29" s="88">
        <v>2733.4229999999998</v>
      </c>
      <c r="F29" s="88">
        <v>2123.5189999999998</v>
      </c>
      <c r="G29" s="1"/>
      <c r="H29" s="1">
        <f t="shared" si="0"/>
        <v>0.30806090619307835</v>
      </c>
      <c r="I29" s="1">
        <f t="shared" si="1"/>
        <v>0.34277340182648403</v>
      </c>
      <c r="J29" s="1">
        <f t="shared" si="1"/>
        <v>0.31239041095890413</v>
      </c>
      <c r="K29" s="1">
        <f t="shared" si="1"/>
        <v>0.31203458904109588</v>
      </c>
      <c r="L29" s="1">
        <f t="shared" si="2"/>
        <v>0.24174852003642985</v>
      </c>
    </row>
    <row r="30" spans="1:12" x14ac:dyDescent="0.45">
      <c r="A30" t="s">
        <v>497</v>
      </c>
      <c r="B30" s="88">
        <v>3306.0117999999998</v>
      </c>
      <c r="C30" s="88">
        <v>4011.9097499999998</v>
      </c>
      <c r="D30" s="88">
        <v>4301.6366799999996</v>
      </c>
      <c r="E30" s="88">
        <v>3519.1000599999998</v>
      </c>
      <c r="F30" s="88">
        <v>4120.2670499999995</v>
      </c>
      <c r="G30" s="1"/>
      <c r="H30" s="1">
        <f t="shared" si="0"/>
        <v>0.37636746357012746</v>
      </c>
      <c r="I30" s="1">
        <f t="shared" si="1"/>
        <v>0.45798056506849311</v>
      </c>
      <c r="J30" s="1">
        <f t="shared" si="1"/>
        <v>0.49105441552511409</v>
      </c>
      <c r="K30" s="1">
        <f t="shared" si="1"/>
        <v>0.40172375114155251</v>
      </c>
      <c r="L30" s="1">
        <f t="shared" si="2"/>
        <v>0.46906501024590158</v>
      </c>
    </row>
    <row r="31" spans="1:12" x14ac:dyDescent="0.45">
      <c r="A31" t="s">
        <v>498</v>
      </c>
      <c r="B31" s="88">
        <v>1345.884</v>
      </c>
      <c r="C31" s="88">
        <v>1169.0654</v>
      </c>
      <c r="D31" s="88">
        <v>971.62030000000004</v>
      </c>
      <c r="E31" s="88">
        <v>876.25400000000013</v>
      </c>
      <c r="F31" s="88">
        <v>1053.6636000000001</v>
      </c>
      <c r="G31" s="1"/>
      <c r="H31" s="1">
        <f t="shared" si="0"/>
        <v>0.15321994535519126</v>
      </c>
      <c r="I31" s="1">
        <f t="shared" si="1"/>
        <v>0.13345495433789953</v>
      </c>
      <c r="J31" s="1">
        <f t="shared" si="1"/>
        <v>0.1109155593607306</v>
      </c>
      <c r="K31" s="1">
        <f t="shared" si="1"/>
        <v>0.10002899543378997</v>
      </c>
      <c r="L31" s="1">
        <f t="shared" si="2"/>
        <v>0.11995259562841531</v>
      </c>
    </row>
    <row r="32" spans="1:12" x14ac:dyDescent="0.45">
      <c r="A32" t="s">
        <v>499</v>
      </c>
      <c r="B32" s="88">
        <v>33199</v>
      </c>
      <c r="C32" s="88">
        <v>34298</v>
      </c>
      <c r="D32" s="88">
        <v>33180</v>
      </c>
      <c r="E32" s="88">
        <v>37288</v>
      </c>
      <c r="F32" s="88">
        <v>36523</v>
      </c>
      <c r="G32" s="1"/>
      <c r="H32" s="1">
        <f t="shared" si="0"/>
        <v>3.779485428051002</v>
      </c>
      <c r="I32" s="1">
        <f t="shared" si="1"/>
        <v>3.9152968036529678</v>
      </c>
      <c r="J32" s="1">
        <f t="shared" si="1"/>
        <v>3.7876712328767121</v>
      </c>
      <c r="K32" s="1">
        <f t="shared" si="1"/>
        <v>4.2566210045662096</v>
      </c>
      <c r="L32" s="1">
        <f t="shared" si="2"/>
        <v>4.1579007285974496</v>
      </c>
    </row>
    <row r="33" spans="1:12" x14ac:dyDescent="0.45">
      <c r="A33" t="s">
        <v>500</v>
      </c>
      <c r="B33" s="88">
        <v>991.76</v>
      </c>
      <c r="C33" s="88">
        <v>1190.48</v>
      </c>
      <c r="D33" s="88">
        <v>1271.44</v>
      </c>
      <c r="E33" s="88">
        <v>1239.81104</v>
      </c>
      <c r="F33" s="88">
        <v>1132.3599199999999</v>
      </c>
      <c r="G33" s="1"/>
      <c r="H33" s="1">
        <f t="shared" si="0"/>
        <v>0.11290528233151184</v>
      </c>
      <c r="I33" s="1">
        <f t="shared" si="1"/>
        <v>0.13589954337899543</v>
      </c>
      <c r="J33" s="1">
        <f t="shared" si="1"/>
        <v>0.14514155251141553</v>
      </c>
      <c r="K33" s="1">
        <f t="shared" si="1"/>
        <v>0.14153094063926941</v>
      </c>
      <c r="L33" s="1">
        <f t="shared" si="2"/>
        <v>0.12891164845173039</v>
      </c>
    </row>
    <row r="34" spans="1:12" x14ac:dyDescent="0.45">
      <c r="B34" s="88"/>
      <c r="C34" s="88"/>
      <c r="D34" s="88"/>
      <c r="E34" s="88"/>
      <c r="F34" s="88"/>
      <c r="G34" s="1"/>
      <c r="H34" s="1">
        <f t="shared" si="0"/>
        <v>0</v>
      </c>
      <c r="I34" s="1">
        <f t="shared" si="1"/>
        <v>0</v>
      </c>
      <c r="J34" s="1">
        <f t="shared" si="1"/>
        <v>0</v>
      </c>
      <c r="K34" s="1">
        <f t="shared" si="1"/>
        <v>0</v>
      </c>
      <c r="L34" s="1">
        <f t="shared" si="2"/>
        <v>0</v>
      </c>
    </row>
    <row r="35" spans="1:12" x14ac:dyDescent="0.45">
      <c r="A35" t="s">
        <v>501</v>
      </c>
      <c r="B35" s="1">
        <f>SUM(B5:B34)</f>
        <v>7378692.4111399995</v>
      </c>
      <c r="C35" s="1">
        <f>SUM(C5:C34)</f>
        <v>7433041.0783400005</v>
      </c>
      <c r="D35" s="1">
        <f>SUM(D5:D34)</f>
        <v>7895875.1352899997</v>
      </c>
      <c r="E35" s="1">
        <f>SUM(E5:E34)</f>
        <v>7691224.8809700003</v>
      </c>
      <c r="F35" s="1">
        <f>SUM(F5:F34)</f>
        <v>7621399.3944799993</v>
      </c>
      <c r="G35" s="1"/>
      <c r="H35" s="1">
        <f t="shared" si="0"/>
        <v>840.01507412795991</v>
      </c>
      <c r="I35" s="1">
        <f t="shared" si="1"/>
        <v>848.52067104337902</v>
      </c>
      <c r="J35" s="1">
        <f t="shared" si="1"/>
        <v>901.35560905136981</v>
      </c>
      <c r="K35" s="1">
        <f t="shared" si="1"/>
        <v>877.99370787328769</v>
      </c>
      <c r="L35" s="1">
        <f t="shared" si="2"/>
        <v>867.64565055555545</v>
      </c>
    </row>
    <row r="36" spans="1:12" x14ac:dyDescent="0.45">
      <c r="B36" s="1"/>
      <c r="C36" s="1"/>
      <c r="D36" s="1"/>
      <c r="E36" s="1"/>
      <c r="F36" s="1"/>
      <c r="G36" s="1"/>
      <c r="H36" s="1">
        <f t="shared" si="0"/>
        <v>0</v>
      </c>
      <c r="I36" s="1">
        <f t="shared" si="1"/>
        <v>0</v>
      </c>
      <c r="J36" s="1">
        <f t="shared" si="1"/>
        <v>0</v>
      </c>
      <c r="K36" s="1">
        <f t="shared" si="1"/>
        <v>0</v>
      </c>
      <c r="L36" s="1">
        <f t="shared" si="2"/>
        <v>0</v>
      </c>
    </row>
    <row r="37" spans="1:12" x14ac:dyDescent="0.45">
      <c r="A37" t="s">
        <v>502</v>
      </c>
      <c r="B37" s="1">
        <f>9060373+B28</f>
        <v>9485018</v>
      </c>
      <c r="C37" s="1">
        <f>9060373+C28</f>
        <v>9427371</v>
      </c>
      <c r="D37" s="1">
        <f>9060373+D28</f>
        <v>9435760</v>
      </c>
      <c r="E37" s="1">
        <f>9534700+64668</f>
        <v>9599368</v>
      </c>
      <c r="F37" s="1">
        <v>9742807</v>
      </c>
      <c r="G37" s="1"/>
      <c r="H37" s="1">
        <f t="shared" si="0"/>
        <v>1079.8062386156648</v>
      </c>
      <c r="I37" s="1">
        <f t="shared" si="1"/>
        <v>1076.1839041095891</v>
      </c>
      <c r="J37" s="1">
        <f t="shared" si="1"/>
        <v>1077.1415525114155</v>
      </c>
      <c r="K37" s="1">
        <f t="shared" si="1"/>
        <v>1095.8182648401826</v>
      </c>
      <c r="L37" s="1">
        <f t="shared" si="2"/>
        <v>1109.1538023679418</v>
      </c>
    </row>
    <row r="38" spans="1:12" x14ac:dyDescent="0.45">
      <c r="G38" t="s">
        <v>477</v>
      </c>
    </row>
    <row r="39" spans="1:12" x14ac:dyDescent="0.45">
      <c r="A39" t="s">
        <v>478</v>
      </c>
      <c r="B39" s="17">
        <f>B35/B37</f>
        <v>0.77793130293901391</v>
      </c>
      <c r="C39" s="17">
        <f>C35/C37</f>
        <v>0.78845322607331358</v>
      </c>
      <c r="D39" s="17">
        <f>D35/D37</f>
        <v>0.83680330310330064</v>
      </c>
      <c r="E39" s="17">
        <f>E35/E37</f>
        <v>0.80122200554974043</v>
      </c>
      <c r="F39" s="17">
        <f>F35/F37</f>
        <v>0.78225909581088893</v>
      </c>
      <c r="G39" s="57">
        <f>AVERAGE(B39:F39)</f>
        <v>0.79733378669525146</v>
      </c>
    </row>
    <row r="42" spans="1:12" ht="14.65" thickBot="1" x14ac:dyDescent="0.5"/>
    <row r="43" spans="1:12" ht="14.65" thickTop="1" x14ac:dyDescent="0.45">
      <c r="A43" s="90" t="s">
        <v>503</v>
      </c>
      <c r="B43" s="90"/>
      <c r="C43" s="90"/>
      <c r="D43" s="90"/>
      <c r="E43" s="90"/>
      <c r="F43" s="90"/>
      <c r="G43" s="90"/>
    </row>
    <row r="44" spans="1:12" x14ac:dyDescent="0.45">
      <c r="B44">
        <v>2016</v>
      </c>
      <c r="C44">
        <v>2017</v>
      </c>
      <c r="D44">
        <v>2018</v>
      </c>
      <c r="E44">
        <v>2019</v>
      </c>
      <c r="F44">
        <v>2020</v>
      </c>
      <c r="G44">
        <v>2021</v>
      </c>
    </row>
    <row r="45" spans="1:12" x14ac:dyDescent="0.45">
      <c r="A45" t="s">
        <v>472</v>
      </c>
      <c r="B45" s="1">
        <v>5578322</v>
      </c>
      <c r="C45" s="1">
        <v>5817351</v>
      </c>
      <c r="D45" s="1">
        <v>5608062</v>
      </c>
      <c r="E45" s="1">
        <v>5672876</v>
      </c>
      <c r="F45" s="1">
        <v>5461691</v>
      </c>
      <c r="G45" s="1">
        <v>5623335</v>
      </c>
      <c r="H45" s="1"/>
      <c r="I45" s="1"/>
      <c r="J45" s="1"/>
    </row>
    <row r="46" spans="1:12" x14ac:dyDescent="0.45">
      <c r="A46" t="s">
        <v>504</v>
      </c>
      <c r="B46" s="83">
        <v>0.65629999999999999</v>
      </c>
      <c r="C46" s="83">
        <v>0.6573</v>
      </c>
      <c r="D46" s="83">
        <v>0.65349999999999997</v>
      </c>
      <c r="E46" s="83">
        <v>0.65390000000000004</v>
      </c>
      <c r="F46" s="83">
        <v>0.65539999999999998</v>
      </c>
      <c r="G46" s="83">
        <v>0.65539999999999998</v>
      </c>
      <c r="H46" s="1"/>
      <c r="I46" s="1"/>
      <c r="J46" s="1"/>
    </row>
    <row r="48" spans="1:12" x14ac:dyDescent="0.45">
      <c r="A48" t="s">
        <v>505</v>
      </c>
      <c r="B48" s="1">
        <f>558857-104480</f>
        <v>454377</v>
      </c>
      <c r="C48" s="1">
        <f>693365-65831</f>
        <v>627534</v>
      </c>
      <c r="D48" s="1">
        <f>586426-79782</f>
        <v>506644</v>
      </c>
      <c r="E48" s="1">
        <f>332778-80796</f>
        <v>251982</v>
      </c>
      <c r="F48" s="1">
        <f>143913-58851</f>
        <v>85062</v>
      </c>
    </row>
    <row r="49" spans="1:6" x14ac:dyDescent="0.45">
      <c r="A49" t="s">
        <v>506</v>
      </c>
      <c r="B49" s="1">
        <f>38002-34822</f>
        <v>3180</v>
      </c>
      <c r="C49" s="1">
        <f>4012-63445</f>
        <v>-59433</v>
      </c>
      <c r="D49" s="1">
        <f>18601-24095</f>
        <v>-5494</v>
      </c>
      <c r="E49" s="1">
        <f>26821-24377</f>
        <v>2444</v>
      </c>
      <c r="F49" s="1">
        <f>39708-23899</f>
        <v>15809</v>
      </c>
    </row>
    <row r="50" spans="1:6" x14ac:dyDescent="0.45">
      <c r="A50" t="s">
        <v>507</v>
      </c>
      <c r="B50" s="1">
        <f>62743-3099</f>
        <v>59644</v>
      </c>
      <c r="C50" s="1">
        <f>54140-7290</f>
        <v>46850</v>
      </c>
      <c r="D50" s="1">
        <f>60168-9974</f>
        <v>50194</v>
      </c>
      <c r="E50" s="1">
        <f>44295-44295-26794</f>
        <v>-26794</v>
      </c>
      <c r="F50" s="1">
        <f>24374-421632-2737</f>
        <v>-399995</v>
      </c>
    </row>
    <row r="51" spans="1:6" x14ac:dyDescent="0.45">
      <c r="A51" t="s">
        <v>508</v>
      </c>
      <c r="B51" s="1">
        <v>6</v>
      </c>
      <c r="C51" s="1">
        <f>24-19</f>
        <v>5</v>
      </c>
      <c r="D51" s="1">
        <f>6-41</f>
        <v>-35</v>
      </c>
      <c r="E51" s="1">
        <f>7-2</f>
        <v>5</v>
      </c>
      <c r="F51" s="1">
        <f>18-5</f>
        <v>13</v>
      </c>
    </row>
    <row r="52" spans="1:6" x14ac:dyDescent="0.45">
      <c r="A52" t="s">
        <v>509</v>
      </c>
      <c r="B52" s="1">
        <f>11648-3614</f>
        <v>8034</v>
      </c>
      <c r="C52" s="1">
        <f>13280-3240</f>
        <v>10040</v>
      </c>
      <c r="D52" s="1">
        <f>17380-7888</f>
        <v>9492</v>
      </c>
      <c r="E52" s="1">
        <f>9170-12045</f>
        <v>-2875</v>
      </c>
      <c r="F52" s="1">
        <f>7050-5720</f>
        <v>1330</v>
      </c>
    </row>
    <row r="53" spans="1:6" x14ac:dyDescent="0.45">
      <c r="A53" t="s">
        <v>510</v>
      </c>
      <c r="B53" s="1">
        <f>71024-6036-137395</f>
        <v>-72407</v>
      </c>
      <c r="C53" s="1">
        <f>65304-273408</f>
        <v>-208104</v>
      </c>
      <c r="D53" s="1">
        <f>131826-122844</f>
        <v>8982</v>
      </c>
      <c r="E53" s="1">
        <v>123558</v>
      </c>
      <c r="F53" s="1">
        <f>239197-68676</f>
        <v>170521</v>
      </c>
    </row>
    <row r="54" spans="1:6" x14ac:dyDescent="0.45">
      <c r="A54" t="s">
        <v>511</v>
      </c>
      <c r="B54" s="1">
        <f>84678-72218</f>
        <v>12460</v>
      </c>
      <c r="C54" s="1">
        <f>86171-141694</f>
        <v>-55523</v>
      </c>
      <c r="D54" s="1">
        <f>87272-149792</f>
        <v>-62520</v>
      </c>
      <c r="E54" s="1">
        <v>72662</v>
      </c>
      <c r="F54" s="1">
        <f>76858-64801</f>
        <v>12057</v>
      </c>
    </row>
    <row r="55" spans="1:6" x14ac:dyDescent="0.45">
      <c r="A55" t="s">
        <v>512</v>
      </c>
      <c r="B55" s="1">
        <f>32780-19118</f>
        <v>13662</v>
      </c>
      <c r="C55" s="1">
        <f>31174-16085</f>
        <v>15089</v>
      </c>
      <c r="D55" s="1">
        <f>20310-34670</f>
        <v>-14360</v>
      </c>
      <c r="E55" s="1">
        <v>13448</v>
      </c>
      <c r="F55" s="1">
        <f>14400-10371</f>
        <v>4029</v>
      </c>
    </row>
    <row r="56" spans="1:6" x14ac:dyDescent="0.45">
      <c r="A56" t="s">
        <v>513</v>
      </c>
      <c r="B56">
        <f>38600-12440</f>
        <v>26160</v>
      </c>
      <c r="C56" s="1">
        <f>38788-28038</f>
        <v>10750</v>
      </c>
      <c r="D56" s="1">
        <f>50486-27085</f>
        <v>23401</v>
      </c>
      <c r="E56" s="1">
        <v>18540</v>
      </c>
      <c r="F56" s="1">
        <f>15310-11065</f>
        <v>4245</v>
      </c>
    </row>
    <row r="57" spans="1:6" x14ac:dyDescent="0.45">
      <c r="A57" t="s">
        <v>514</v>
      </c>
      <c r="B57" s="1">
        <f>26746-12041</f>
        <v>14705</v>
      </c>
      <c r="C57" s="1">
        <f>19567-8698</f>
        <v>10869</v>
      </c>
      <c r="D57" s="1">
        <f>11356-10621</f>
        <v>735</v>
      </c>
      <c r="E57" s="1">
        <v>8258</v>
      </c>
      <c r="F57" s="1">
        <f>16371-4442</f>
        <v>11929</v>
      </c>
    </row>
    <row r="58" spans="1:6" x14ac:dyDescent="0.45">
      <c r="A58" t="s">
        <v>515</v>
      </c>
      <c r="B58" s="1">
        <f>22883-22050</f>
        <v>833</v>
      </c>
      <c r="C58" s="1">
        <f>21114-24332</f>
        <v>-3218</v>
      </c>
      <c r="D58" s="1">
        <f>9356-48643</f>
        <v>-39287</v>
      </c>
      <c r="E58" s="1">
        <v>14585</v>
      </c>
      <c r="F58" s="1">
        <f>28351-33551</f>
        <v>-5200</v>
      </c>
    </row>
  </sheetData>
  <pageMargins left="0.7" right="0.7" top="0.75" bottom="0.75" header="0.3" footer="0.3"/>
  <pageSetup orientation="portrait" horizontalDpi="1200" verticalDpi="12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2797-2E73-4061-98F5-31114BDBF66A}">
  <dimension ref="A1:S35"/>
  <sheetViews>
    <sheetView topLeftCell="A13" workbookViewId="0">
      <selection activeCell="N40" sqref="N40"/>
    </sheetView>
  </sheetViews>
  <sheetFormatPr defaultColWidth="9.1328125" defaultRowHeight="12.75" x14ac:dyDescent="0.35"/>
  <cols>
    <col min="1" max="18" width="10.1328125" style="53" customWidth="1"/>
    <col min="19" max="19" width="13.59765625" style="53" customWidth="1"/>
    <col min="20" max="16384" width="9.1328125" style="53"/>
  </cols>
  <sheetData>
    <row r="1" spans="1:19" s="51" customFormat="1" ht="65.650000000000006" x14ac:dyDescent="0.4">
      <c r="A1" s="51" t="s">
        <v>68</v>
      </c>
      <c r="B1" s="52" t="s">
        <v>69</v>
      </c>
      <c r="C1" s="52" t="s">
        <v>70</v>
      </c>
      <c r="D1" s="52" t="s">
        <v>71</v>
      </c>
      <c r="E1" s="52" t="s">
        <v>72</v>
      </c>
      <c r="F1" s="52" t="s">
        <v>73</v>
      </c>
      <c r="G1" s="52" t="s">
        <v>74</v>
      </c>
      <c r="H1" s="52" t="s">
        <v>75</v>
      </c>
      <c r="I1" s="52" t="s">
        <v>76</v>
      </c>
      <c r="J1" s="52" t="s">
        <v>77</v>
      </c>
      <c r="K1" s="52" t="s">
        <v>78</v>
      </c>
      <c r="L1" s="52" t="s">
        <v>79</v>
      </c>
      <c r="M1" s="52" t="s">
        <v>80</v>
      </c>
      <c r="N1" s="52" t="s">
        <v>81</v>
      </c>
      <c r="O1" s="52" t="s">
        <v>82</v>
      </c>
      <c r="P1" s="52" t="s">
        <v>83</v>
      </c>
      <c r="Q1" s="52" t="s">
        <v>84</v>
      </c>
      <c r="R1" s="52" t="s">
        <v>85</v>
      </c>
      <c r="S1" s="52" t="s">
        <v>86</v>
      </c>
    </row>
    <row r="2" spans="1:19" x14ac:dyDescent="0.35">
      <c r="A2" s="53" t="s">
        <v>61</v>
      </c>
      <c r="B2" s="53">
        <v>2016</v>
      </c>
      <c r="C2" s="53">
        <v>346</v>
      </c>
      <c r="D2" s="53">
        <v>345</v>
      </c>
      <c r="E2" s="53">
        <v>1</v>
      </c>
      <c r="F2" s="53">
        <v>0</v>
      </c>
      <c r="G2" s="53">
        <v>0</v>
      </c>
      <c r="H2" s="53">
        <v>0</v>
      </c>
      <c r="I2" s="53">
        <v>0</v>
      </c>
      <c r="J2" s="53">
        <v>52</v>
      </c>
      <c r="K2" s="53">
        <v>25</v>
      </c>
      <c r="L2" s="53">
        <v>14</v>
      </c>
      <c r="M2" s="53">
        <v>0</v>
      </c>
      <c r="N2" s="53">
        <v>0</v>
      </c>
      <c r="O2" s="53">
        <v>0</v>
      </c>
      <c r="P2" s="53">
        <v>0</v>
      </c>
      <c r="Q2" s="53">
        <v>346</v>
      </c>
      <c r="R2" s="53">
        <v>0</v>
      </c>
      <c r="S2" s="53">
        <f>VLOOKUP($A2,[2]Population!$A$3:$L$42,$B2-2008,FALSE)</f>
        <v>19510</v>
      </c>
    </row>
    <row r="3" spans="1:19" x14ac:dyDescent="0.35">
      <c r="A3" s="53" t="s">
        <v>62</v>
      </c>
      <c r="B3" s="53">
        <v>2016</v>
      </c>
      <c r="C3" s="53">
        <v>362</v>
      </c>
      <c r="D3" s="53">
        <v>322</v>
      </c>
      <c r="E3" s="53">
        <v>40</v>
      </c>
      <c r="F3" s="53">
        <v>0</v>
      </c>
      <c r="G3" s="53">
        <v>0</v>
      </c>
      <c r="H3" s="53">
        <v>0</v>
      </c>
      <c r="I3" s="53">
        <v>0</v>
      </c>
      <c r="J3" s="53">
        <v>92</v>
      </c>
      <c r="K3" s="53">
        <v>51</v>
      </c>
      <c r="L3" s="53">
        <v>27</v>
      </c>
      <c r="M3" s="53">
        <v>0</v>
      </c>
      <c r="N3" s="53">
        <v>0</v>
      </c>
      <c r="O3" s="53">
        <v>0</v>
      </c>
      <c r="P3" s="53">
        <v>0</v>
      </c>
      <c r="Q3" s="53">
        <v>362</v>
      </c>
      <c r="R3" s="53">
        <v>0</v>
      </c>
      <c r="S3" s="53">
        <f>VLOOKUP($A3,[2]Population!$A$3:$L$42,$B3-2008,FALSE)</f>
        <v>22150</v>
      </c>
    </row>
    <row r="4" spans="1:19" x14ac:dyDescent="0.35">
      <c r="A4" s="53" t="s">
        <v>65</v>
      </c>
      <c r="B4" s="53">
        <v>2016</v>
      </c>
      <c r="C4" s="53">
        <v>366</v>
      </c>
      <c r="D4" s="53">
        <v>305</v>
      </c>
      <c r="E4" s="53">
        <v>61</v>
      </c>
      <c r="F4" s="53">
        <v>0</v>
      </c>
      <c r="G4" s="53">
        <v>0</v>
      </c>
      <c r="H4" s="53">
        <v>0</v>
      </c>
      <c r="I4" s="53">
        <v>0</v>
      </c>
      <c r="J4" s="53">
        <v>79</v>
      </c>
      <c r="K4" s="53">
        <v>54</v>
      </c>
      <c r="L4" s="53">
        <v>37</v>
      </c>
      <c r="M4" s="53">
        <v>1</v>
      </c>
      <c r="N4" s="53">
        <v>0</v>
      </c>
      <c r="O4" s="53">
        <v>129</v>
      </c>
      <c r="P4" s="53">
        <v>0</v>
      </c>
      <c r="Q4" s="53">
        <v>231</v>
      </c>
      <c r="R4" s="53">
        <v>5</v>
      </c>
      <c r="S4" s="53">
        <f>VLOOKUP($A4,[2]Population!$A$3:$L$42,$B4-2008,FALSE)</f>
        <v>492530</v>
      </c>
    </row>
    <row r="5" spans="1:19" x14ac:dyDescent="0.35">
      <c r="A5" s="53" t="s">
        <v>66</v>
      </c>
      <c r="B5" s="53">
        <v>2016</v>
      </c>
      <c r="C5" s="53">
        <v>366</v>
      </c>
      <c r="D5" s="53">
        <v>291</v>
      </c>
      <c r="E5" s="53">
        <v>73</v>
      </c>
      <c r="F5" s="53">
        <v>2</v>
      </c>
      <c r="G5" s="53">
        <v>0</v>
      </c>
      <c r="H5" s="53">
        <v>0</v>
      </c>
      <c r="I5" s="53">
        <v>0</v>
      </c>
      <c r="J5" s="53">
        <v>110</v>
      </c>
      <c r="K5" s="53">
        <v>60</v>
      </c>
      <c r="L5" s="53">
        <v>26</v>
      </c>
      <c r="M5" s="53">
        <v>0</v>
      </c>
      <c r="N5" s="53">
        <v>0</v>
      </c>
      <c r="O5" s="53">
        <v>0</v>
      </c>
      <c r="P5" s="53">
        <v>0</v>
      </c>
      <c r="Q5" s="53">
        <v>300</v>
      </c>
      <c r="R5" s="53">
        <v>66</v>
      </c>
      <c r="S5" s="53">
        <f>VLOOKUP($A5,[2]Population!$A$3:$L$42,$B5-2008,FALSE)</f>
        <v>44100</v>
      </c>
    </row>
    <row r="6" spans="1:19" x14ac:dyDescent="0.35">
      <c r="A6" s="53" t="s">
        <v>67</v>
      </c>
      <c r="B6" s="53">
        <v>2016</v>
      </c>
      <c r="C6" s="53">
        <v>366</v>
      </c>
      <c r="D6" s="53">
        <v>359</v>
      </c>
      <c r="E6" s="53">
        <v>7</v>
      </c>
      <c r="F6" s="53">
        <v>0</v>
      </c>
      <c r="G6" s="53">
        <v>0</v>
      </c>
      <c r="H6" s="53">
        <v>0</v>
      </c>
      <c r="I6" s="53">
        <v>0</v>
      </c>
      <c r="J6" s="53">
        <v>84</v>
      </c>
      <c r="K6" s="53">
        <v>33</v>
      </c>
      <c r="L6" s="53">
        <v>17</v>
      </c>
      <c r="M6" s="53">
        <v>0</v>
      </c>
      <c r="N6" s="53">
        <v>0</v>
      </c>
      <c r="O6" s="53">
        <v>0</v>
      </c>
      <c r="P6" s="53">
        <v>0</v>
      </c>
      <c r="Q6" s="53">
        <v>366</v>
      </c>
      <c r="R6" s="53">
        <v>0</v>
      </c>
      <c r="S6" s="53">
        <f>VLOOKUP($A6,[2]Population!$A$3:$L$42,$B6-2008,FALSE)</f>
        <v>47940</v>
      </c>
    </row>
    <row r="7" spans="1:19" x14ac:dyDescent="0.35">
      <c r="A7" s="53" t="s">
        <v>61</v>
      </c>
      <c r="B7" s="53">
        <v>2017</v>
      </c>
      <c r="C7" s="53">
        <v>357</v>
      </c>
      <c r="D7" s="53">
        <v>329</v>
      </c>
      <c r="E7" s="53">
        <v>17</v>
      </c>
      <c r="F7" s="53">
        <v>5</v>
      </c>
      <c r="G7" s="53">
        <v>6</v>
      </c>
      <c r="H7" s="53">
        <v>0</v>
      </c>
      <c r="I7" s="53">
        <v>0</v>
      </c>
      <c r="J7" s="53">
        <v>190</v>
      </c>
      <c r="K7" s="53">
        <v>40</v>
      </c>
      <c r="L7" s="53">
        <v>13</v>
      </c>
      <c r="M7" s="53">
        <v>0</v>
      </c>
      <c r="N7" s="53">
        <v>0</v>
      </c>
      <c r="O7" s="53">
        <v>0</v>
      </c>
      <c r="P7" s="53">
        <v>0</v>
      </c>
      <c r="Q7" s="53">
        <v>357</v>
      </c>
      <c r="R7" s="53">
        <v>0</v>
      </c>
      <c r="S7" s="53">
        <f>VLOOKUP($A7,[2]Population!$A$3:$L$42,$B7-2008,FALSE)</f>
        <v>19870</v>
      </c>
    </row>
    <row r="8" spans="1:19" x14ac:dyDescent="0.35">
      <c r="A8" s="53" t="s">
        <v>62</v>
      </c>
      <c r="B8" s="53">
        <v>2017</v>
      </c>
      <c r="C8" s="53">
        <v>347</v>
      </c>
      <c r="D8" s="53">
        <v>271</v>
      </c>
      <c r="E8" s="53">
        <v>57</v>
      </c>
      <c r="F8" s="53">
        <v>11</v>
      </c>
      <c r="G8" s="53">
        <v>5</v>
      </c>
      <c r="H8" s="53">
        <v>3</v>
      </c>
      <c r="I8" s="53">
        <v>0</v>
      </c>
      <c r="J8" s="53">
        <v>249</v>
      </c>
      <c r="K8" s="53">
        <v>70</v>
      </c>
      <c r="L8" s="53">
        <v>30</v>
      </c>
      <c r="M8" s="53">
        <v>0</v>
      </c>
      <c r="N8" s="53">
        <v>0</v>
      </c>
      <c r="O8" s="53">
        <v>0</v>
      </c>
      <c r="P8" s="53">
        <v>0</v>
      </c>
      <c r="Q8" s="53">
        <v>347</v>
      </c>
      <c r="R8" s="53">
        <v>0</v>
      </c>
      <c r="S8" s="53">
        <f>VLOOKUP($A8,[2]Population!$A$3:$L$42,$B8-2008,FALSE)</f>
        <v>22290</v>
      </c>
    </row>
    <row r="9" spans="1:19" x14ac:dyDescent="0.35">
      <c r="A9" s="53" t="s">
        <v>65</v>
      </c>
      <c r="B9" s="53">
        <v>2017</v>
      </c>
      <c r="C9" s="53">
        <v>365</v>
      </c>
      <c r="D9" s="53">
        <v>263</v>
      </c>
      <c r="E9" s="53">
        <v>86</v>
      </c>
      <c r="F9" s="53">
        <v>10</v>
      </c>
      <c r="G9" s="53">
        <v>3</v>
      </c>
      <c r="H9" s="53">
        <v>3</v>
      </c>
      <c r="I9" s="53">
        <v>0</v>
      </c>
      <c r="J9" s="53">
        <v>254</v>
      </c>
      <c r="K9" s="53">
        <v>70</v>
      </c>
      <c r="L9" s="53">
        <v>39</v>
      </c>
      <c r="M9" s="53">
        <v>0</v>
      </c>
      <c r="N9" s="53">
        <v>0</v>
      </c>
      <c r="O9" s="53">
        <v>115</v>
      </c>
      <c r="P9" s="53">
        <v>0</v>
      </c>
      <c r="Q9" s="53">
        <v>221</v>
      </c>
      <c r="R9" s="53">
        <v>29</v>
      </c>
      <c r="S9" s="53">
        <f>VLOOKUP($A9,[2]Population!$A$3:$L$42,$B9-2008,FALSE)</f>
        <v>499800</v>
      </c>
    </row>
    <row r="10" spans="1:19" x14ac:dyDescent="0.35">
      <c r="A10" s="53" t="s">
        <v>66</v>
      </c>
      <c r="B10" s="53">
        <v>2017</v>
      </c>
      <c r="C10" s="53">
        <v>365</v>
      </c>
      <c r="D10" s="53">
        <v>239</v>
      </c>
      <c r="E10" s="53">
        <v>109</v>
      </c>
      <c r="F10" s="53">
        <v>8</v>
      </c>
      <c r="G10" s="53">
        <v>9</v>
      </c>
      <c r="H10" s="53">
        <v>0</v>
      </c>
      <c r="I10" s="53">
        <v>0</v>
      </c>
      <c r="J10" s="53">
        <v>187</v>
      </c>
      <c r="K10" s="53">
        <v>71</v>
      </c>
      <c r="L10" s="53">
        <v>35</v>
      </c>
      <c r="M10" s="53">
        <v>0</v>
      </c>
      <c r="N10" s="53">
        <v>0</v>
      </c>
      <c r="O10" s="53">
        <v>0</v>
      </c>
      <c r="P10" s="53">
        <v>0</v>
      </c>
      <c r="Q10" s="53">
        <v>336</v>
      </c>
      <c r="R10" s="53">
        <v>29</v>
      </c>
      <c r="S10" s="53">
        <f>VLOOKUP($A10,[2]Population!$A$3:$L$42,$B10-2008,FALSE)</f>
        <v>44510</v>
      </c>
    </row>
    <row r="11" spans="1:19" x14ac:dyDescent="0.35">
      <c r="A11" s="53" t="s">
        <v>67</v>
      </c>
      <c r="B11" s="53">
        <v>2017</v>
      </c>
      <c r="C11" s="53">
        <v>365</v>
      </c>
      <c r="D11" s="53">
        <v>328</v>
      </c>
      <c r="E11" s="53">
        <v>27</v>
      </c>
      <c r="F11" s="53">
        <v>5</v>
      </c>
      <c r="G11" s="53">
        <v>5</v>
      </c>
      <c r="H11" s="53">
        <v>0</v>
      </c>
      <c r="I11" s="53">
        <v>0</v>
      </c>
      <c r="J11" s="53">
        <v>192</v>
      </c>
      <c r="K11" s="53">
        <v>52</v>
      </c>
      <c r="L11" s="53">
        <v>18</v>
      </c>
      <c r="M11" s="53">
        <v>0</v>
      </c>
      <c r="N11" s="53">
        <v>0</v>
      </c>
      <c r="O11" s="53">
        <v>0</v>
      </c>
      <c r="P11" s="53">
        <v>0</v>
      </c>
      <c r="Q11" s="53">
        <v>365</v>
      </c>
      <c r="R11" s="53">
        <v>0</v>
      </c>
      <c r="S11" s="53">
        <f>VLOOKUP($A11,[2]Population!$A$3:$L$42,$B11-2008,FALSE)</f>
        <v>48640</v>
      </c>
    </row>
    <row r="12" spans="1:19" x14ac:dyDescent="0.35">
      <c r="A12" s="53" t="s">
        <v>61</v>
      </c>
      <c r="B12" s="53">
        <v>2018</v>
      </c>
      <c r="C12" s="53">
        <v>350</v>
      </c>
      <c r="D12" s="53">
        <v>313</v>
      </c>
      <c r="E12" s="53">
        <v>29</v>
      </c>
      <c r="F12" s="53">
        <v>4</v>
      </c>
      <c r="G12" s="53">
        <v>4</v>
      </c>
      <c r="H12" s="53">
        <v>0</v>
      </c>
      <c r="I12" s="53">
        <v>0</v>
      </c>
      <c r="J12" s="53">
        <v>183</v>
      </c>
      <c r="K12" s="53">
        <v>52</v>
      </c>
      <c r="L12" s="53">
        <v>13</v>
      </c>
      <c r="M12" s="53">
        <v>0</v>
      </c>
      <c r="N12" s="53">
        <v>0</v>
      </c>
      <c r="O12" s="53">
        <v>0</v>
      </c>
      <c r="P12" s="53">
        <v>0</v>
      </c>
      <c r="Q12" s="53">
        <v>350</v>
      </c>
      <c r="R12" s="53">
        <v>0</v>
      </c>
      <c r="S12" s="53">
        <f>VLOOKUP($A12,[2]Population!$A$3:$L$42,$B12-2008,FALSE)</f>
        <v>20020</v>
      </c>
    </row>
    <row r="13" spans="1:19" x14ac:dyDescent="0.35">
      <c r="A13" s="53" t="s">
        <v>62</v>
      </c>
      <c r="B13" s="53">
        <v>2018</v>
      </c>
      <c r="C13" s="53">
        <v>325</v>
      </c>
      <c r="D13" s="53">
        <v>259</v>
      </c>
      <c r="E13" s="53">
        <v>58</v>
      </c>
      <c r="F13" s="53">
        <v>6</v>
      </c>
      <c r="G13" s="53">
        <v>2</v>
      </c>
      <c r="H13" s="53">
        <v>0</v>
      </c>
      <c r="I13" s="53">
        <v>0</v>
      </c>
      <c r="J13" s="53">
        <v>187</v>
      </c>
      <c r="K13" s="53">
        <v>68</v>
      </c>
      <c r="L13" s="53">
        <v>27</v>
      </c>
      <c r="M13" s="53">
        <v>0</v>
      </c>
      <c r="N13" s="53">
        <v>0</v>
      </c>
      <c r="O13" s="53">
        <v>0</v>
      </c>
      <c r="P13" s="53">
        <v>0</v>
      </c>
      <c r="Q13" s="53">
        <v>325</v>
      </c>
      <c r="R13" s="53">
        <v>0</v>
      </c>
      <c r="S13" s="53">
        <f>VLOOKUP($A13,[2]Population!$A$3:$L$42,$B13-2008,FALSE)</f>
        <v>22420</v>
      </c>
    </row>
    <row r="14" spans="1:19" x14ac:dyDescent="0.35">
      <c r="A14" s="53" t="s">
        <v>65</v>
      </c>
      <c r="B14" s="53">
        <v>2018</v>
      </c>
      <c r="C14" s="53">
        <v>365</v>
      </c>
      <c r="D14" s="53">
        <v>269</v>
      </c>
      <c r="E14" s="53">
        <v>84</v>
      </c>
      <c r="F14" s="53">
        <v>6</v>
      </c>
      <c r="G14" s="53">
        <v>5</v>
      </c>
      <c r="H14" s="53">
        <v>1</v>
      </c>
      <c r="I14" s="53">
        <v>0</v>
      </c>
      <c r="J14" s="53">
        <v>257</v>
      </c>
      <c r="K14" s="53">
        <v>71</v>
      </c>
      <c r="L14" s="53">
        <v>38</v>
      </c>
      <c r="M14" s="53">
        <v>0</v>
      </c>
      <c r="N14" s="53">
        <v>0</v>
      </c>
      <c r="O14" s="53">
        <v>111</v>
      </c>
      <c r="P14" s="53">
        <v>0</v>
      </c>
      <c r="Q14" s="53">
        <v>207</v>
      </c>
      <c r="R14" s="53">
        <v>47</v>
      </c>
      <c r="S14" s="53">
        <f>VLOOKUP($A14,[2]Population!$A$3:$L$42,$B14-2008,FALSE)</f>
        <v>507950</v>
      </c>
    </row>
    <row r="15" spans="1:19" x14ac:dyDescent="0.35">
      <c r="A15" s="53" t="s">
        <v>66</v>
      </c>
      <c r="B15" s="53">
        <v>2018</v>
      </c>
      <c r="C15" s="53">
        <v>365</v>
      </c>
      <c r="D15" s="53">
        <v>250</v>
      </c>
      <c r="E15" s="53">
        <v>98</v>
      </c>
      <c r="F15" s="53">
        <v>8</v>
      </c>
      <c r="G15" s="53">
        <v>9</v>
      </c>
      <c r="H15" s="53">
        <v>0</v>
      </c>
      <c r="I15" s="53">
        <v>0</v>
      </c>
      <c r="J15" s="53">
        <v>197</v>
      </c>
      <c r="K15" s="53">
        <v>70</v>
      </c>
      <c r="L15" s="53">
        <v>35</v>
      </c>
      <c r="M15" s="53">
        <v>0</v>
      </c>
      <c r="N15" s="53">
        <v>0</v>
      </c>
      <c r="O15" s="53">
        <v>0</v>
      </c>
      <c r="P15" s="53">
        <v>0</v>
      </c>
      <c r="Q15" s="53">
        <v>297</v>
      </c>
      <c r="R15" s="53">
        <v>68</v>
      </c>
      <c r="S15" s="53">
        <f>VLOOKUP($A15,[2]Population!$A$3:$L$42,$B15-2008,FALSE)</f>
        <v>45030</v>
      </c>
    </row>
    <row r="16" spans="1:19" x14ac:dyDescent="0.35">
      <c r="A16" s="53" t="s">
        <v>67</v>
      </c>
      <c r="B16" s="53">
        <v>2018</v>
      </c>
      <c r="C16" s="53">
        <v>365</v>
      </c>
      <c r="D16" s="53">
        <v>325</v>
      </c>
      <c r="E16" s="53">
        <v>33</v>
      </c>
      <c r="F16" s="53">
        <v>5</v>
      </c>
      <c r="G16" s="53">
        <v>2</v>
      </c>
      <c r="H16" s="53">
        <v>0</v>
      </c>
      <c r="I16" s="53">
        <v>0</v>
      </c>
      <c r="J16" s="53">
        <v>177</v>
      </c>
      <c r="K16" s="53">
        <v>52</v>
      </c>
      <c r="L16" s="53">
        <v>17</v>
      </c>
      <c r="M16" s="53">
        <v>0</v>
      </c>
      <c r="N16" s="53">
        <v>0</v>
      </c>
      <c r="O16" s="53">
        <v>0</v>
      </c>
      <c r="P16" s="53">
        <v>0</v>
      </c>
      <c r="Q16" s="53">
        <v>365</v>
      </c>
      <c r="R16" s="53">
        <v>0</v>
      </c>
      <c r="S16" s="53">
        <f>VLOOKUP($A16,[2]Population!$A$3:$L$42,$B16-2008,FALSE)</f>
        <v>49210</v>
      </c>
    </row>
    <row r="17" spans="1:19" x14ac:dyDescent="0.35">
      <c r="A17" s="53" t="s">
        <v>61</v>
      </c>
      <c r="B17" s="53">
        <v>2019</v>
      </c>
      <c r="C17" s="53">
        <v>360</v>
      </c>
      <c r="D17" s="53">
        <v>354</v>
      </c>
      <c r="E17" s="53">
        <v>6</v>
      </c>
      <c r="F17" s="53">
        <v>0</v>
      </c>
      <c r="G17" s="53">
        <v>0</v>
      </c>
      <c r="H17" s="53">
        <v>0</v>
      </c>
      <c r="I17" s="53">
        <v>0</v>
      </c>
      <c r="J17" s="53">
        <v>88</v>
      </c>
      <c r="K17" s="53">
        <v>31</v>
      </c>
      <c r="L17" s="53">
        <v>13</v>
      </c>
      <c r="M17" s="53">
        <v>0</v>
      </c>
      <c r="N17" s="53">
        <v>0</v>
      </c>
      <c r="O17" s="53">
        <v>0</v>
      </c>
      <c r="P17" s="53">
        <v>0</v>
      </c>
      <c r="Q17" s="53">
        <v>360</v>
      </c>
      <c r="R17" s="53">
        <v>0</v>
      </c>
      <c r="S17" s="53">
        <f>VLOOKUP($A17,[2]Population!$A$3:$L$42,$B17-2008,FALSE)</f>
        <v>20150</v>
      </c>
    </row>
    <row r="18" spans="1:19" x14ac:dyDescent="0.35">
      <c r="A18" s="53" t="s">
        <v>62</v>
      </c>
      <c r="B18" s="53">
        <v>2019</v>
      </c>
      <c r="C18" s="53">
        <v>357</v>
      </c>
      <c r="D18" s="53">
        <v>292</v>
      </c>
      <c r="E18" s="53">
        <v>64</v>
      </c>
      <c r="F18" s="53">
        <v>1</v>
      </c>
      <c r="G18" s="53">
        <v>0</v>
      </c>
      <c r="H18" s="53">
        <v>0</v>
      </c>
      <c r="I18" s="53">
        <v>0</v>
      </c>
      <c r="J18" s="53">
        <v>125</v>
      </c>
      <c r="K18" s="53">
        <v>60</v>
      </c>
      <c r="L18" s="53">
        <v>27</v>
      </c>
      <c r="M18" s="53">
        <v>0</v>
      </c>
      <c r="N18" s="53">
        <v>0</v>
      </c>
      <c r="O18" s="53">
        <v>0</v>
      </c>
      <c r="P18" s="53">
        <v>0</v>
      </c>
      <c r="Q18" s="53">
        <v>357</v>
      </c>
      <c r="R18" s="53">
        <v>0</v>
      </c>
      <c r="S18" s="53">
        <f>VLOOKUP($A18,[2]Population!$A$3:$L$42,$B18-2008,FALSE)</f>
        <v>22520</v>
      </c>
    </row>
    <row r="19" spans="1:19" x14ac:dyDescent="0.35">
      <c r="A19" s="53" t="s">
        <v>65</v>
      </c>
      <c r="B19" s="53">
        <v>2019</v>
      </c>
      <c r="C19" s="53">
        <v>365</v>
      </c>
      <c r="D19" s="53">
        <v>301</v>
      </c>
      <c r="E19" s="53">
        <v>63</v>
      </c>
      <c r="F19" s="53">
        <v>1</v>
      </c>
      <c r="G19" s="53">
        <v>0</v>
      </c>
      <c r="H19" s="53">
        <v>0</v>
      </c>
      <c r="I19" s="53">
        <v>0</v>
      </c>
      <c r="J19" s="53">
        <v>107</v>
      </c>
      <c r="K19" s="53">
        <v>59</v>
      </c>
      <c r="L19" s="53">
        <v>37</v>
      </c>
      <c r="M19" s="53">
        <v>0</v>
      </c>
      <c r="N19" s="53">
        <v>0</v>
      </c>
      <c r="O19" s="53">
        <v>143</v>
      </c>
      <c r="P19" s="53">
        <v>0</v>
      </c>
      <c r="Q19" s="53">
        <v>197</v>
      </c>
      <c r="R19" s="53">
        <v>25</v>
      </c>
      <c r="S19" s="53">
        <f>VLOOKUP($A19,[2]Population!$A$3:$L$42,$B19-2008,FALSE)</f>
        <v>515250</v>
      </c>
    </row>
    <row r="20" spans="1:19" x14ac:dyDescent="0.35">
      <c r="A20" s="53" t="s">
        <v>66</v>
      </c>
      <c r="B20" s="53">
        <v>2019</v>
      </c>
      <c r="C20" s="53">
        <v>365</v>
      </c>
      <c r="D20" s="53">
        <v>274</v>
      </c>
      <c r="E20" s="53">
        <v>90</v>
      </c>
      <c r="F20" s="53">
        <v>1</v>
      </c>
      <c r="G20" s="53">
        <v>0</v>
      </c>
      <c r="H20" s="53">
        <v>0</v>
      </c>
      <c r="I20" s="53">
        <v>0</v>
      </c>
      <c r="J20" s="53">
        <v>146</v>
      </c>
      <c r="K20" s="53">
        <v>63</v>
      </c>
      <c r="L20" s="53">
        <v>28</v>
      </c>
      <c r="M20" s="53">
        <v>0</v>
      </c>
      <c r="N20" s="53">
        <v>0</v>
      </c>
      <c r="O20" s="53">
        <v>0</v>
      </c>
      <c r="P20" s="53">
        <v>0</v>
      </c>
      <c r="Q20" s="53">
        <v>284</v>
      </c>
      <c r="R20" s="53">
        <v>81</v>
      </c>
      <c r="S20" s="53">
        <f>VLOOKUP($A20,[2]Population!$A$3:$L$42,$B20-2008,FALSE)</f>
        <v>45570</v>
      </c>
    </row>
    <row r="21" spans="1:19" x14ac:dyDescent="0.35">
      <c r="A21" s="53" t="s">
        <v>67</v>
      </c>
      <c r="B21" s="53">
        <v>2019</v>
      </c>
      <c r="C21" s="53">
        <v>365</v>
      </c>
      <c r="D21" s="53">
        <v>354</v>
      </c>
      <c r="E21" s="53">
        <v>11</v>
      </c>
      <c r="F21" s="53">
        <v>0</v>
      </c>
      <c r="G21" s="53">
        <v>0</v>
      </c>
      <c r="H21" s="53">
        <v>0</v>
      </c>
      <c r="I21" s="53">
        <v>0</v>
      </c>
      <c r="J21" s="53">
        <v>67</v>
      </c>
      <c r="K21" s="53">
        <v>38</v>
      </c>
      <c r="L21" s="53">
        <v>18</v>
      </c>
      <c r="M21" s="53">
        <v>0</v>
      </c>
      <c r="N21" s="53">
        <v>0</v>
      </c>
      <c r="O21" s="53">
        <v>0</v>
      </c>
      <c r="P21" s="53">
        <v>0</v>
      </c>
      <c r="Q21" s="53">
        <v>365</v>
      </c>
      <c r="R21" s="53">
        <v>0</v>
      </c>
      <c r="S21" s="53">
        <f>VLOOKUP($A21,[2]Population!$A$3:$L$42,$B21-2008,FALSE)</f>
        <v>50130</v>
      </c>
    </row>
    <row r="22" spans="1:19" x14ac:dyDescent="0.35">
      <c r="A22" s="53" t="s">
        <v>61</v>
      </c>
      <c r="B22" s="53">
        <v>2020</v>
      </c>
      <c r="C22" s="53">
        <v>364</v>
      </c>
      <c r="D22" s="53">
        <v>354</v>
      </c>
      <c r="E22" s="53">
        <v>2</v>
      </c>
      <c r="F22" s="53">
        <v>0</v>
      </c>
      <c r="G22" s="53">
        <v>6</v>
      </c>
      <c r="H22" s="53">
        <v>2</v>
      </c>
      <c r="I22" s="53">
        <v>0</v>
      </c>
      <c r="J22" s="53">
        <v>241</v>
      </c>
      <c r="K22" s="53">
        <v>33</v>
      </c>
      <c r="L22" s="53">
        <v>13</v>
      </c>
      <c r="M22" s="53">
        <v>0</v>
      </c>
      <c r="N22" s="53">
        <v>0</v>
      </c>
      <c r="O22" s="53">
        <v>0</v>
      </c>
      <c r="P22" s="53">
        <v>0</v>
      </c>
      <c r="Q22" s="53">
        <v>364</v>
      </c>
      <c r="R22" s="53">
        <v>0</v>
      </c>
      <c r="S22" s="53">
        <f>VLOOKUP($A22,[2]Population!$A$3:$L$42,$B22-2008,FALSE)</f>
        <v>20450</v>
      </c>
    </row>
    <row r="23" spans="1:19" x14ac:dyDescent="0.35">
      <c r="A23" s="53" t="s">
        <v>62</v>
      </c>
      <c r="B23" s="53">
        <v>2020</v>
      </c>
      <c r="C23" s="53">
        <v>350</v>
      </c>
      <c r="D23" s="53">
        <v>263</v>
      </c>
      <c r="E23" s="53">
        <v>78</v>
      </c>
      <c r="F23" s="53">
        <v>2</v>
      </c>
      <c r="G23" s="53">
        <v>5</v>
      </c>
      <c r="H23" s="53">
        <v>2</v>
      </c>
      <c r="I23" s="53">
        <v>0</v>
      </c>
      <c r="J23" s="53">
        <v>289</v>
      </c>
      <c r="K23" s="53">
        <v>62</v>
      </c>
      <c r="L23" s="53">
        <v>29</v>
      </c>
      <c r="M23" s="53">
        <v>0</v>
      </c>
      <c r="N23" s="53">
        <v>0</v>
      </c>
      <c r="O23" s="53">
        <v>0</v>
      </c>
      <c r="P23" s="53">
        <v>0</v>
      </c>
      <c r="Q23" s="53">
        <v>350</v>
      </c>
      <c r="R23" s="53">
        <v>0</v>
      </c>
      <c r="S23" s="53">
        <f>VLOOKUP($A23,[2]Population!$A$3:$L$42,$B23-2008,FALSE)</f>
        <v>22640</v>
      </c>
    </row>
    <row r="24" spans="1:19" x14ac:dyDescent="0.35">
      <c r="A24" s="53" t="s">
        <v>65</v>
      </c>
      <c r="B24" s="53">
        <v>2020</v>
      </c>
      <c r="C24" s="53">
        <v>366</v>
      </c>
      <c r="D24" s="53">
        <v>323</v>
      </c>
      <c r="E24" s="53">
        <v>36</v>
      </c>
      <c r="F24" s="53">
        <v>0</v>
      </c>
      <c r="G24" s="53">
        <v>2</v>
      </c>
      <c r="H24" s="53">
        <v>1</v>
      </c>
      <c r="I24" s="53">
        <v>4</v>
      </c>
      <c r="J24" s="53">
        <v>479</v>
      </c>
      <c r="K24" s="53">
        <v>52</v>
      </c>
      <c r="L24" s="53">
        <v>33</v>
      </c>
      <c r="M24" s="53">
        <v>0</v>
      </c>
      <c r="N24" s="53">
        <v>0</v>
      </c>
      <c r="O24" s="53">
        <v>119</v>
      </c>
      <c r="P24" s="53">
        <v>0</v>
      </c>
      <c r="Q24" s="53">
        <v>215</v>
      </c>
      <c r="R24" s="53">
        <v>32</v>
      </c>
      <c r="S24" s="53">
        <f>VLOOKUP($A24,[2]Population!$A$3:$L$42,$B24-2008,FALSE)</f>
        <v>522600</v>
      </c>
    </row>
    <row r="25" spans="1:19" x14ac:dyDescent="0.35">
      <c r="A25" s="53" t="s">
        <v>66</v>
      </c>
      <c r="B25" s="53">
        <v>2020</v>
      </c>
      <c r="C25" s="53">
        <v>366</v>
      </c>
      <c r="D25" s="53">
        <v>269</v>
      </c>
      <c r="E25" s="53">
        <v>88</v>
      </c>
      <c r="F25" s="53">
        <v>1</v>
      </c>
      <c r="G25" s="53">
        <v>4</v>
      </c>
      <c r="H25" s="53">
        <v>0</v>
      </c>
      <c r="I25" s="53">
        <v>4</v>
      </c>
      <c r="J25" s="53">
        <v>536</v>
      </c>
      <c r="K25" s="53">
        <v>63</v>
      </c>
      <c r="L25" s="53">
        <v>32</v>
      </c>
      <c r="M25" s="53">
        <v>0</v>
      </c>
      <c r="N25" s="53">
        <v>0</v>
      </c>
      <c r="O25" s="53">
        <v>0</v>
      </c>
      <c r="P25" s="53">
        <v>0</v>
      </c>
      <c r="Q25" s="53">
        <v>329</v>
      </c>
      <c r="R25" s="53">
        <v>37</v>
      </c>
      <c r="S25" s="53">
        <f>VLOOKUP($A25,[2]Population!$A$3:$L$42,$B25-2008,FALSE)</f>
        <v>45920</v>
      </c>
    </row>
    <row r="26" spans="1:19" x14ac:dyDescent="0.35">
      <c r="A26" s="53" t="s">
        <v>67</v>
      </c>
      <c r="B26" s="53">
        <v>2020</v>
      </c>
      <c r="C26" s="53">
        <v>366</v>
      </c>
      <c r="D26" s="53">
        <v>352</v>
      </c>
      <c r="E26" s="53">
        <v>6</v>
      </c>
      <c r="F26" s="53">
        <v>1</v>
      </c>
      <c r="G26" s="53">
        <v>6</v>
      </c>
      <c r="H26" s="53">
        <v>1</v>
      </c>
      <c r="I26" s="53">
        <v>0</v>
      </c>
      <c r="J26" s="53">
        <v>212</v>
      </c>
      <c r="K26" s="53">
        <v>35</v>
      </c>
      <c r="L26" s="53">
        <v>15</v>
      </c>
      <c r="M26" s="53">
        <v>0</v>
      </c>
      <c r="N26" s="53">
        <v>0</v>
      </c>
      <c r="O26" s="53">
        <v>0</v>
      </c>
      <c r="P26" s="53">
        <v>0</v>
      </c>
      <c r="Q26" s="53">
        <v>366</v>
      </c>
      <c r="R26" s="53">
        <v>0</v>
      </c>
      <c r="S26" s="53">
        <f>VLOOKUP($A26,[2]Population!$A$3:$L$42,$B26-2008,FALSE)</f>
        <v>50480</v>
      </c>
    </row>
    <row r="29" spans="1:19" x14ac:dyDescent="0.35">
      <c r="B29" s="53" t="s">
        <v>87</v>
      </c>
    </row>
    <row r="31" spans="1:19" x14ac:dyDescent="0.35">
      <c r="B31" s="53">
        <v>2016</v>
      </c>
      <c r="C31" s="54">
        <f>SUM(D31:I31)</f>
        <v>365.23542468422141</v>
      </c>
      <c r="D31" s="55">
        <f>SUMPRODUCT(D$2:D$6,$S$2:$S$6)/SUM($S$2:$S$6)</f>
        <v>309.99546492502753</v>
      </c>
      <c r="E31" s="55">
        <f t="shared" ref="E31:I31" si="0">SUMPRODUCT(E$2:E$6,$S$2:$S$6)/SUM($S$2:$S$6)</f>
        <v>55.099116937866278</v>
      </c>
      <c r="F31" s="55">
        <f t="shared" si="0"/>
        <v>0.14084282132762724</v>
      </c>
      <c r="G31" s="55">
        <f t="shared" si="0"/>
        <v>0</v>
      </c>
      <c r="H31" s="55">
        <f t="shared" si="0"/>
        <v>0</v>
      </c>
      <c r="I31" s="55">
        <f t="shared" si="0"/>
        <v>0</v>
      </c>
      <c r="J31" s="54">
        <f>SUM(F31:I31)</f>
        <v>0.14084282132762724</v>
      </c>
    </row>
    <row r="32" spans="1:19" x14ac:dyDescent="0.35">
      <c r="B32" s="53">
        <v>2017</v>
      </c>
      <c r="C32" s="54">
        <f t="shared" ref="C32:C35" si="1">SUM(D32:I32)</f>
        <v>364.11797956259545</v>
      </c>
      <c r="D32" s="55">
        <f>SUMPRODUCT(D$7:D$11,$S$7:$S$11)/SUM($S$7:$S$11)</f>
        <v>268.64169986301584</v>
      </c>
      <c r="E32" s="55">
        <f t="shared" ref="E32:I32" si="2">SUMPRODUCT(E$7:E$11,$S$7:$S$11)/SUM($S$7:$S$11)</f>
        <v>79.916849049770903</v>
      </c>
      <c r="F32" s="55">
        <f t="shared" si="2"/>
        <v>9.3555761993985289</v>
      </c>
      <c r="G32" s="55">
        <f t="shared" si="2"/>
        <v>3.7377147265827966</v>
      </c>
      <c r="H32" s="55">
        <f t="shared" si="2"/>
        <v>2.4661397238273683</v>
      </c>
      <c r="I32" s="55">
        <f t="shared" si="2"/>
        <v>0</v>
      </c>
      <c r="J32" s="54">
        <f t="shared" ref="J32:J35" si="3">SUM(F32:I32)</f>
        <v>15.559430649808693</v>
      </c>
    </row>
    <row r="33" spans="2:10" x14ac:dyDescent="0.35">
      <c r="B33" s="53">
        <v>2018</v>
      </c>
      <c r="C33" s="54">
        <f t="shared" si="1"/>
        <v>363.14296573228052</v>
      </c>
      <c r="D33" s="55">
        <f>SUMPRODUCT(D$12:D$16,$S$12:$S$16)/SUM($S$12:$S$16)</f>
        <v>272.9664148426229</v>
      </c>
      <c r="E33" s="55">
        <f t="shared" ref="E33:I33" si="4">SUMPRODUCT(E$12:E$16,$S$12:$S$16)/SUM($S$12:$S$16)</f>
        <v>78.472317453422889</v>
      </c>
      <c r="F33" s="55">
        <f t="shared" si="4"/>
        <v>6.0012565347563722</v>
      </c>
      <c r="G33" s="55">
        <f t="shared" si="4"/>
        <v>4.9150055070350431</v>
      </c>
      <c r="H33" s="55">
        <f t="shared" si="4"/>
        <v>0.78797139444332409</v>
      </c>
      <c r="I33" s="55">
        <f t="shared" si="4"/>
        <v>0</v>
      </c>
      <c r="J33" s="54">
        <f t="shared" si="3"/>
        <v>11.704233436234741</v>
      </c>
    </row>
    <row r="34" spans="2:10" x14ac:dyDescent="0.35">
      <c r="B34" s="53">
        <v>2019</v>
      </c>
      <c r="C34" s="54">
        <f t="shared" si="1"/>
        <v>364.57022428934243</v>
      </c>
      <c r="D34" s="55">
        <f>SUMPRODUCT(D$17:D$21,$S$17:$S$21)/SUM($S$17:$S$21)</f>
        <v>304.50627275787156</v>
      </c>
      <c r="E34" s="55">
        <f t="shared" ref="E34:I34" si="5">SUMPRODUCT(E$17:E$21,$S$17:$S$21)/SUM($S$17:$S$21)</f>
        <v>59.17147578103485</v>
      </c>
      <c r="F34" s="55">
        <f t="shared" si="5"/>
        <v>0.89247575043603322</v>
      </c>
      <c r="G34" s="55">
        <f t="shared" si="5"/>
        <v>0</v>
      </c>
      <c r="H34" s="55">
        <f t="shared" si="5"/>
        <v>0</v>
      </c>
      <c r="I34" s="55">
        <f t="shared" si="5"/>
        <v>0</v>
      </c>
      <c r="J34" s="54">
        <f t="shared" si="3"/>
        <v>0.89247575043603322</v>
      </c>
    </row>
    <row r="35" spans="2:10" x14ac:dyDescent="0.35">
      <c r="B35" s="53">
        <v>2020</v>
      </c>
      <c r="C35" s="54">
        <f t="shared" si="1"/>
        <v>365.39110996994367</v>
      </c>
      <c r="D35" s="55">
        <f>SUMPRODUCT(D$22:D$26,$S$22:$S$26)/SUM($S$22:$S$26)</f>
        <v>320.37164131764564</v>
      </c>
      <c r="E35" s="55">
        <f t="shared" ref="E35:H35" si="6">SUMPRODUCT(E$22:E$26,$S$22:$S$26)/SUM($S$22:$S$26)</f>
        <v>37.705236448217008</v>
      </c>
      <c r="F35" s="55">
        <f t="shared" si="6"/>
        <v>0.21398903472337596</v>
      </c>
      <c r="G35" s="55">
        <f t="shared" si="6"/>
        <v>2.6698183026476765</v>
      </c>
      <c r="H35" s="55">
        <f t="shared" si="6"/>
        <v>0.99572565663278412</v>
      </c>
      <c r="I35" s="55">
        <f>SUMPRODUCT(I$22:I$26,$S$22:$S$26)/SUM($S$22:$S$26)</f>
        <v>3.4346992100771798</v>
      </c>
      <c r="J35" s="54">
        <f t="shared" si="3"/>
        <v>7.3142322040810166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5943A-C11E-4BEF-845A-D84E49CCCB41}">
  <dimension ref="A1:H57"/>
  <sheetViews>
    <sheetView topLeftCell="A28" zoomScale="80" zoomScaleNormal="80" workbookViewId="0">
      <selection activeCell="J63" sqref="J63"/>
    </sheetView>
  </sheetViews>
  <sheetFormatPr defaultColWidth="9.1328125" defaultRowHeight="13.5" x14ac:dyDescent="0.35"/>
  <cols>
    <col min="1" max="1" width="13.73046875" style="11" customWidth="1"/>
    <col min="2" max="2" width="20.59765625" style="11" customWidth="1"/>
    <col min="3" max="3" width="17.59765625" style="11" customWidth="1"/>
    <col min="4" max="8" width="13.1328125" style="11" customWidth="1"/>
    <col min="9" max="16384" width="9.1328125" style="11"/>
  </cols>
  <sheetData>
    <row r="1" spans="1:8" ht="13.9" x14ac:dyDescent="0.4">
      <c r="A1" s="15" t="s">
        <v>526</v>
      </c>
    </row>
    <row r="2" spans="1:8" ht="13.9" x14ac:dyDescent="0.4">
      <c r="A2" s="15"/>
    </row>
    <row r="3" spans="1:8" ht="13.9" x14ac:dyDescent="0.4">
      <c r="A3" s="15" t="s">
        <v>527</v>
      </c>
      <c r="D3" s="92"/>
      <c r="E3" s="92"/>
      <c r="F3" s="92"/>
      <c r="G3" s="92"/>
      <c r="H3" s="92"/>
    </row>
    <row r="4" spans="1:8" ht="13.9" x14ac:dyDescent="0.4">
      <c r="A4" s="15" t="s">
        <v>528</v>
      </c>
      <c r="B4" s="15" t="s">
        <v>529</v>
      </c>
      <c r="C4" s="15" t="s">
        <v>530</v>
      </c>
      <c r="D4" s="15">
        <v>2016</v>
      </c>
      <c r="E4" s="15">
        <v>2017</v>
      </c>
      <c r="F4" s="15">
        <v>2018</v>
      </c>
      <c r="G4" s="15">
        <v>2019</v>
      </c>
      <c r="H4" s="15">
        <v>2020</v>
      </c>
    </row>
    <row r="5" spans="1:8" x14ac:dyDescent="0.35">
      <c r="A5" s="11" t="s">
        <v>531</v>
      </c>
      <c r="B5" s="11" t="s">
        <v>532</v>
      </c>
      <c r="C5" s="11" t="s">
        <v>533</v>
      </c>
      <c r="D5" s="93">
        <v>674.70606503713657</v>
      </c>
      <c r="E5" s="93">
        <v>630.88531717892738</v>
      </c>
      <c r="F5" s="93">
        <v>593.02334542990911</v>
      </c>
      <c r="G5" s="93">
        <v>647.32549774904339</v>
      </c>
      <c r="H5" s="93">
        <f>236.3+3.7</f>
        <v>240</v>
      </c>
    </row>
    <row r="6" spans="1:8" x14ac:dyDescent="0.35">
      <c r="A6" s="11" t="s">
        <v>534</v>
      </c>
      <c r="B6" s="11" t="s">
        <v>535</v>
      </c>
      <c r="C6" s="11" t="s">
        <v>536</v>
      </c>
      <c r="D6" s="93">
        <v>0.13887019266455516</v>
      </c>
      <c r="E6" s="93">
        <v>0.22850461513272088</v>
      </c>
      <c r="F6" s="93">
        <v>0.48112142715074874</v>
      </c>
      <c r="G6" s="93">
        <v>0.58299344852450397</v>
      </c>
      <c r="H6" s="93">
        <v>0.6</v>
      </c>
    </row>
    <row r="7" spans="1:8" x14ac:dyDescent="0.35">
      <c r="A7" s="11" t="s">
        <v>537</v>
      </c>
      <c r="B7" s="11" t="s">
        <v>459</v>
      </c>
      <c r="C7" s="11" t="s">
        <v>536</v>
      </c>
      <c r="D7" s="93">
        <v>3.9148253697887997E-3</v>
      </c>
      <c r="E7" s="93">
        <v>1.3841504534980798E-3</v>
      </c>
      <c r="F7" s="93">
        <v>5.0820129622079994E-3</v>
      </c>
      <c r="G7" s="93">
        <v>1.16942144427072E-2</v>
      </c>
      <c r="H7" s="94">
        <v>0</v>
      </c>
    </row>
    <row r="8" spans="1:8" x14ac:dyDescent="0.35">
      <c r="A8" s="11" t="s">
        <v>537</v>
      </c>
      <c r="B8" s="11" t="s">
        <v>487</v>
      </c>
      <c r="C8" s="11" t="s">
        <v>536</v>
      </c>
      <c r="D8" s="93">
        <v>4.615836003943919E-2</v>
      </c>
      <c r="E8" s="93">
        <v>6.8076076712109121E-2</v>
      </c>
      <c r="F8" s="93">
        <v>0.12031805303768159</v>
      </c>
      <c r="G8" s="93">
        <v>0.16594726941979196</v>
      </c>
      <c r="H8" s="93">
        <v>0.1</v>
      </c>
    </row>
    <row r="9" spans="1:8" x14ac:dyDescent="0.35">
      <c r="A9" s="11" t="s">
        <v>538</v>
      </c>
      <c r="B9" s="11" t="s">
        <v>539</v>
      </c>
      <c r="C9" s="11" t="s">
        <v>536</v>
      </c>
      <c r="D9" s="93">
        <v>3.3145025362946479</v>
      </c>
      <c r="E9" s="93">
        <v>3.1132662714819501</v>
      </c>
      <c r="F9" s="93">
        <v>2.7943978812515415</v>
      </c>
      <c r="G9" s="93">
        <v>3.4738434680950507</v>
      </c>
      <c r="H9" s="93">
        <v>3.2</v>
      </c>
    </row>
    <row r="10" spans="1:8" x14ac:dyDescent="0.35">
      <c r="A10" s="11" t="s">
        <v>534</v>
      </c>
      <c r="B10" s="11" t="s">
        <v>484</v>
      </c>
      <c r="C10" s="11" t="s">
        <v>536</v>
      </c>
      <c r="D10" s="93">
        <v>2.5319526093400002</v>
      </c>
      <c r="E10" s="93">
        <v>2.5782190310800002</v>
      </c>
      <c r="F10" s="93">
        <v>3.0635628669799999</v>
      </c>
      <c r="G10" s="93">
        <v>3.4473020120000002</v>
      </c>
      <c r="H10" s="93">
        <v>3.2486285539400002</v>
      </c>
    </row>
    <row r="11" spans="1:8" x14ac:dyDescent="0.35">
      <c r="A11" s="11" t="s">
        <v>537</v>
      </c>
      <c r="B11" s="11" t="s">
        <v>486</v>
      </c>
      <c r="C11" s="11" t="s">
        <v>536</v>
      </c>
      <c r="D11" s="93">
        <v>1.17821723593608E-2</v>
      </c>
      <c r="E11" s="93">
        <v>1.8003915151646396E-2</v>
      </c>
      <c r="F11" s="93">
        <v>2.6598287841727682E-2</v>
      </c>
      <c r="G11" s="93">
        <v>5.8317029512941598E-2</v>
      </c>
      <c r="H11" s="94">
        <v>0</v>
      </c>
    </row>
    <row r="12" spans="1:8" x14ac:dyDescent="0.35">
      <c r="A12" s="11" t="s">
        <v>537</v>
      </c>
      <c r="B12" s="11" t="s">
        <v>460</v>
      </c>
      <c r="C12" s="11" t="s">
        <v>540</v>
      </c>
      <c r="D12" s="93">
        <v>4.0100687288138595</v>
      </c>
      <c r="E12" s="93">
        <v>1.3721781088962799</v>
      </c>
      <c r="F12" s="93">
        <v>1.50986390467276</v>
      </c>
      <c r="G12" s="93">
        <v>1.3645402932688799</v>
      </c>
      <c r="H12" s="93">
        <v>1.3</v>
      </c>
    </row>
    <row r="13" spans="1:8" ht="13.9" x14ac:dyDescent="0.4">
      <c r="B13" s="15" t="s">
        <v>5</v>
      </c>
      <c r="C13" s="15"/>
      <c r="D13" s="95">
        <f t="shared" ref="D13:H13" si="0">SUM(D5:D12)</f>
        <v>684.76331446201812</v>
      </c>
      <c r="E13" s="95">
        <f t="shared" si="0"/>
        <v>638.26494934783568</v>
      </c>
      <c r="F13" s="95">
        <f t="shared" si="0"/>
        <v>601.02428986380573</v>
      </c>
      <c r="G13" s="95">
        <f t="shared" si="0"/>
        <v>656.43013548430736</v>
      </c>
      <c r="H13" s="95">
        <f t="shared" si="0"/>
        <v>248.44862855393998</v>
      </c>
    </row>
    <row r="14" spans="1:8" ht="13.9" x14ac:dyDescent="0.4">
      <c r="B14" s="15" t="s">
        <v>541</v>
      </c>
      <c r="C14" s="15"/>
      <c r="D14" s="95">
        <f>SUM(D11:D12,D8,D7)</f>
        <v>4.071924086582448</v>
      </c>
      <c r="E14" s="95">
        <f t="shared" ref="E14:H14" si="1">SUM(E11:E12,E8,E7)</f>
        <v>1.4596422512135336</v>
      </c>
      <c r="F14" s="95">
        <f t="shared" si="1"/>
        <v>1.6618622585143772</v>
      </c>
      <c r="G14" s="95">
        <f t="shared" si="1"/>
        <v>1.6004988066443206</v>
      </c>
      <c r="H14" s="95">
        <f t="shared" si="1"/>
        <v>1.4000000000000001</v>
      </c>
    </row>
    <row r="15" spans="1:8" x14ac:dyDescent="0.35">
      <c r="D15" s="96"/>
      <c r="E15" s="96"/>
      <c r="F15" s="96"/>
      <c r="G15" s="96"/>
      <c r="H15" s="96"/>
    </row>
    <row r="16" spans="1:8" x14ac:dyDescent="0.35">
      <c r="D16" s="96"/>
      <c r="E16" s="96"/>
      <c r="F16" s="96"/>
      <c r="G16" s="96"/>
      <c r="H16" s="96"/>
    </row>
    <row r="17" spans="1:8" ht="13.9" x14ac:dyDescent="0.4">
      <c r="A17" s="15" t="s">
        <v>542</v>
      </c>
      <c r="D17" s="96"/>
      <c r="E17" s="96"/>
      <c r="F17" s="96"/>
      <c r="G17" s="96"/>
      <c r="H17" s="96"/>
    </row>
    <row r="18" spans="1:8" ht="13.9" x14ac:dyDescent="0.4">
      <c r="A18" s="15" t="s">
        <v>528</v>
      </c>
      <c r="B18" s="15" t="s">
        <v>529</v>
      </c>
      <c r="C18" s="15" t="s">
        <v>530</v>
      </c>
      <c r="D18" s="15">
        <v>2016</v>
      </c>
      <c r="E18" s="15">
        <v>2017</v>
      </c>
      <c r="F18" s="15">
        <v>2018</v>
      </c>
      <c r="G18" s="15">
        <v>2019</v>
      </c>
      <c r="H18" s="15">
        <v>2020</v>
      </c>
    </row>
    <row r="19" spans="1:8" x14ac:dyDescent="0.35">
      <c r="A19" s="11" t="s">
        <v>531</v>
      </c>
      <c r="B19" s="11" t="s">
        <v>532</v>
      </c>
      <c r="C19" s="11" t="s">
        <v>533</v>
      </c>
      <c r="D19" s="93">
        <v>1178.4024398902434</v>
      </c>
      <c r="E19" s="93">
        <v>1058.777029251248</v>
      </c>
      <c r="F19" s="93">
        <v>1063.4157859482125</v>
      </c>
      <c r="G19" s="93">
        <v>1162.3790696493279</v>
      </c>
      <c r="H19" s="93">
        <f>845.3+1.1</f>
        <v>846.4</v>
      </c>
    </row>
    <row r="20" spans="1:8" x14ac:dyDescent="0.35">
      <c r="A20" s="11" t="s">
        <v>534</v>
      </c>
      <c r="B20" s="11" t="s">
        <v>535</v>
      </c>
      <c r="C20" s="11" t="s">
        <v>536</v>
      </c>
      <c r="D20" s="93">
        <v>16.201522477531437</v>
      </c>
      <c r="E20" s="93">
        <v>19.422892286281279</v>
      </c>
      <c r="F20" s="93">
        <v>29.669154674296173</v>
      </c>
      <c r="G20" s="93">
        <v>35.951262659011078</v>
      </c>
      <c r="H20" s="93">
        <v>34.299999999999997</v>
      </c>
    </row>
    <row r="21" spans="1:8" x14ac:dyDescent="0.35">
      <c r="A21" s="11" t="s">
        <v>537</v>
      </c>
      <c r="B21" s="11" t="s">
        <v>459</v>
      </c>
      <c r="C21" s="11" t="s">
        <v>536</v>
      </c>
      <c r="D21" s="93">
        <v>2.3488952218732799</v>
      </c>
      <c r="E21" s="93">
        <v>1.1765278854733678</v>
      </c>
      <c r="F21" s="93">
        <v>4.3197110178768003</v>
      </c>
      <c r="G21" s="93">
        <v>9.940082276301121</v>
      </c>
      <c r="H21" s="93">
        <v>1.9</v>
      </c>
    </row>
    <row r="22" spans="1:8" x14ac:dyDescent="0.35">
      <c r="A22" s="11" t="s">
        <v>537</v>
      </c>
      <c r="B22" s="11" t="s">
        <v>487</v>
      </c>
      <c r="C22" s="11" t="s">
        <v>536</v>
      </c>
      <c r="D22" s="93">
        <v>1.9232650016433002</v>
      </c>
      <c r="E22" s="93">
        <v>2.8365031963378797</v>
      </c>
      <c r="F22" s="93">
        <v>5.0132522099034</v>
      </c>
      <c r="G22" s="93">
        <v>6.9144695591579985</v>
      </c>
      <c r="H22" s="93">
        <v>5</v>
      </c>
    </row>
    <row r="23" spans="1:8" x14ac:dyDescent="0.35">
      <c r="A23" s="11" t="s">
        <v>538</v>
      </c>
      <c r="B23" s="11" t="s">
        <v>539</v>
      </c>
      <c r="C23" s="11" t="s">
        <v>536</v>
      </c>
      <c r="D23" s="93">
        <v>90.04398556933792</v>
      </c>
      <c r="E23" s="93">
        <v>91.841355008717542</v>
      </c>
      <c r="F23" s="93">
        <v>71.722878952122912</v>
      </c>
      <c r="G23" s="93">
        <v>89.161982347772991</v>
      </c>
      <c r="H23" s="93">
        <v>1.2</v>
      </c>
    </row>
    <row r="24" spans="1:8" x14ac:dyDescent="0.35">
      <c r="A24" s="11" t="s">
        <v>534</v>
      </c>
      <c r="B24" s="11" t="s">
        <v>484</v>
      </c>
      <c r="C24" s="11" t="s">
        <v>536</v>
      </c>
      <c r="D24" s="93">
        <v>56.78885753926</v>
      </c>
      <c r="E24" s="93">
        <v>58.214951950540012</v>
      </c>
      <c r="F24" s="93">
        <v>66.6055036108</v>
      </c>
      <c r="G24" s="93">
        <v>69.614635393379999</v>
      </c>
      <c r="H24" s="93">
        <v>67.268655655740005</v>
      </c>
    </row>
    <row r="25" spans="1:8" x14ac:dyDescent="0.35">
      <c r="A25" s="11" t="s">
        <v>537</v>
      </c>
      <c r="B25" s="11" t="s">
        <v>486</v>
      </c>
      <c r="C25" s="11" t="s">
        <v>536</v>
      </c>
      <c r="D25" s="93">
        <v>1.2797876873098799</v>
      </c>
      <c r="E25" s="93">
        <v>2.7750862319951515</v>
      </c>
      <c r="F25" s="93">
        <v>4.0998050569835423</v>
      </c>
      <c r="G25" s="93">
        <v>8.9888662732016851</v>
      </c>
      <c r="H25" s="93">
        <v>0.7</v>
      </c>
    </row>
    <row r="26" spans="1:8" x14ac:dyDescent="0.35">
      <c r="A26" s="11" t="s">
        <v>537</v>
      </c>
      <c r="B26" s="11" t="s">
        <v>460</v>
      </c>
      <c r="C26" s="11" t="s">
        <v>540</v>
      </c>
      <c r="D26" s="93">
        <v>420.00193528103063</v>
      </c>
      <c r="E26" s="93">
        <v>372.44834384327595</v>
      </c>
      <c r="F26" s="93">
        <v>409.82020269689195</v>
      </c>
      <c r="G26" s="93">
        <v>370.37522245869599</v>
      </c>
      <c r="H26" s="93">
        <v>357.5</v>
      </c>
    </row>
    <row r="27" spans="1:8" ht="13.9" x14ac:dyDescent="0.4">
      <c r="B27" s="15" t="s">
        <v>5</v>
      </c>
      <c r="C27" s="15"/>
      <c r="D27" s="95">
        <f t="shared" ref="D27:H27" si="2">SUM(D19:D26)</f>
        <v>1766.9906886682302</v>
      </c>
      <c r="E27" s="95">
        <f t="shared" si="2"/>
        <v>1607.4926896538691</v>
      </c>
      <c r="F27" s="95">
        <f t="shared" si="2"/>
        <v>1654.6662941670875</v>
      </c>
      <c r="G27" s="95">
        <f t="shared" si="2"/>
        <v>1753.3255906168488</v>
      </c>
      <c r="H27" s="95">
        <f t="shared" si="2"/>
        <v>1314.2686556557401</v>
      </c>
    </row>
    <row r="28" spans="1:8" ht="13.9" x14ac:dyDescent="0.4">
      <c r="B28" s="15" t="s">
        <v>541</v>
      </c>
      <c r="C28" s="15"/>
      <c r="D28" s="95">
        <f>SUM(D25:D26,D22,D21)</f>
        <v>425.5538831918571</v>
      </c>
      <c r="E28" s="95">
        <f t="shared" ref="E28:H28" si="3">SUM(E25:E26,E22,E21)</f>
        <v>379.23646115708237</v>
      </c>
      <c r="F28" s="95">
        <f t="shared" si="3"/>
        <v>423.25297098165566</v>
      </c>
      <c r="G28" s="95">
        <f t="shared" si="3"/>
        <v>396.21864056735677</v>
      </c>
      <c r="H28" s="95">
        <f t="shared" si="3"/>
        <v>365.09999999999997</v>
      </c>
    </row>
    <row r="29" spans="1:8" x14ac:dyDescent="0.35">
      <c r="D29" s="92"/>
      <c r="E29" s="92"/>
      <c r="F29" s="92"/>
      <c r="G29" s="92"/>
      <c r="H29" s="92"/>
    </row>
    <row r="30" spans="1:8" x14ac:dyDescent="0.35">
      <c r="D30" s="92"/>
      <c r="E30" s="92"/>
      <c r="F30" s="92"/>
      <c r="G30" s="92"/>
      <c r="H30" s="92"/>
    </row>
    <row r="31" spans="1:8" ht="13.9" x14ac:dyDescent="0.4">
      <c r="A31" s="15" t="s">
        <v>543</v>
      </c>
      <c r="D31" s="92"/>
      <c r="E31" s="92"/>
      <c r="F31" s="92"/>
      <c r="G31" s="92"/>
      <c r="H31" s="92"/>
    </row>
    <row r="32" spans="1:8" ht="13.9" x14ac:dyDescent="0.4">
      <c r="A32" s="15" t="s">
        <v>528</v>
      </c>
      <c r="B32" s="15" t="s">
        <v>529</v>
      </c>
      <c r="C32" s="15" t="s">
        <v>530</v>
      </c>
      <c r="D32" s="15">
        <v>2016</v>
      </c>
      <c r="E32" s="15">
        <v>2017</v>
      </c>
      <c r="F32" s="15">
        <v>2018</v>
      </c>
      <c r="G32" s="15">
        <v>2019</v>
      </c>
      <c r="H32" s="15">
        <v>2020</v>
      </c>
    </row>
    <row r="33" spans="1:8" x14ac:dyDescent="0.35">
      <c r="A33" s="11" t="s">
        <v>531</v>
      </c>
      <c r="B33" s="11" t="s">
        <v>532</v>
      </c>
      <c r="C33" s="11" t="s">
        <v>533</v>
      </c>
      <c r="D33" s="97">
        <v>0.11492162281467991</v>
      </c>
      <c r="E33" s="97">
        <v>0.11140337190129022</v>
      </c>
      <c r="F33" s="97">
        <v>0.10972025886024542</v>
      </c>
      <c r="G33" s="97">
        <v>0.11994627754826853</v>
      </c>
      <c r="H33" s="97">
        <f>0.0939+0.0001</f>
        <v>9.4E-2</v>
      </c>
    </row>
    <row r="34" spans="1:8" x14ac:dyDescent="0.35">
      <c r="A34" s="11" t="s">
        <v>534</v>
      </c>
      <c r="B34" s="11" t="s">
        <v>535</v>
      </c>
      <c r="C34" s="11" t="s">
        <v>536</v>
      </c>
      <c r="D34" s="97">
        <v>0</v>
      </c>
      <c r="E34" s="97">
        <v>0</v>
      </c>
      <c r="F34" s="97">
        <v>0</v>
      </c>
      <c r="G34" s="97">
        <v>0</v>
      </c>
      <c r="H34" s="97">
        <v>0</v>
      </c>
    </row>
    <row r="35" spans="1:8" x14ac:dyDescent="0.35">
      <c r="A35" s="11" t="s">
        <v>537</v>
      </c>
      <c r="B35" s="11" t="s">
        <v>459</v>
      </c>
      <c r="C35" s="11" t="s">
        <v>536</v>
      </c>
      <c r="D35" s="97">
        <v>0</v>
      </c>
      <c r="E35" s="97">
        <v>0</v>
      </c>
      <c r="F35" s="97">
        <v>0</v>
      </c>
      <c r="G35" s="97">
        <v>0</v>
      </c>
      <c r="H35" s="97">
        <v>0</v>
      </c>
    </row>
    <row r="36" spans="1:8" x14ac:dyDescent="0.35">
      <c r="A36" s="11" t="s">
        <v>537</v>
      </c>
      <c r="B36" s="11" t="s">
        <v>487</v>
      </c>
      <c r="C36" s="11" t="s">
        <v>536</v>
      </c>
      <c r="D36" s="97">
        <v>0</v>
      </c>
      <c r="E36" s="97">
        <v>0</v>
      </c>
      <c r="F36" s="97">
        <v>0</v>
      </c>
      <c r="G36" s="97">
        <v>0</v>
      </c>
      <c r="H36" s="97">
        <v>0</v>
      </c>
    </row>
    <row r="37" spans="1:8" x14ac:dyDescent="0.35">
      <c r="A37" s="11" t="s">
        <v>538</v>
      </c>
      <c r="B37" s="11" t="s">
        <v>539</v>
      </c>
      <c r="C37" s="11" t="s">
        <v>536</v>
      </c>
      <c r="D37" s="97">
        <v>0</v>
      </c>
      <c r="E37" s="97">
        <v>0</v>
      </c>
      <c r="F37" s="97">
        <v>0</v>
      </c>
      <c r="G37" s="97">
        <v>0</v>
      </c>
      <c r="H37" s="97">
        <v>0</v>
      </c>
    </row>
    <row r="38" spans="1:8" x14ac:dyDescent="0.35">
      <c r="A38" s="11" t="s">
        <v>534</v>
      </c>
      <c r="B38" s="11" t="s">
        <v>484</v>
      </c>
      <c r="C38" s="11" t="s">
        <v>536</v>
      </c>
      <c r="D38" s="97">
        <v>0</v>
      </c>
      <c r="E38" s="97">
        <v>0</v>
      </c>
      <c r="F38" s="97">
        <v>0</v>
      </c>
      <c r="G38" s="97">
        <v>0</v>
      </c>
      <c r="H38" s="97">
        <v>0</v>
      </c>
    </row>
    <row r="39" spans="1:8" x14ac:dyDescent="0.35">
      <c r="A39" s="11" t="s">
        <v>537</v>
      </c>
      <c r="B39" s="11" t="s">
        <v>486</v>
      </c>
      <c r="C39" s="11" t="s">
        <v>536</v>
      </c>
      <c r="D39" s="97">
        <v>0</v>
      </c>
      <c r="E39" s="97">
        <v>0</v>
      </c>
      <c r="F39" s="97">
        <v>0</v>
      </c>
      <c r="G39" s="97">
        <v>0</v>
      </c>
      <c r="H39" s="97">
        <v>0</v>
      </c>
    </row>
    <row r="40" spans="1:8" x14ac:dyDescent="0.35">
      <c r="A40" s="11" t="s">
        <v>537</v>
      </c>
      <c r="B40" s="11" t="s">
        <v>460</v>
      </c>
      <c r="C40" s="11" t="s">
        <v>540</v>
      </c>
      <c r="D40" s="97">
        <v>7.3869687109728993E-3</v>
      </c>
      <c r="E40" s="97">
        <v>6.8608905444813998E-3</v>
      </c>
      <c r="F40" s="97">
        <v>7.5493195233637999E-3</v>
      </c>
      <c r="G40" s="97">
        <v>6.8227014663443993E-3</v>
      </c>
      <c r="H40" s="97">
        <v>6.6E-3</v>
      </c>
    </row>
    <row r="41" spans="1:8" ht="13.9" x14ac:dyDescent="0.4">
      <c r="B41" s="15" t="s">
        <v>5</v>
      </c>
      <c r="C41" s="15"/>
      <c r="D41" s="98">
        <f t="shared" ref="D41:H41" si="4">SUM(D33:D40)</f>
        <v>0.12230859152565281</v>
      </c>
      <c r="E41" s="98">
        <f t="shared" si="4"/>
        <v>0.11826426244577162</v>
      </c>
      <c r="F41" s="98">
        <f t="shared" si="4"/>
        <v>0.11726957838360921</v>
      </c>
      <c r="G41" s="98">
        <f t="shared" si="4"/>
        <v>0.12676897901461293</v>
      </c>
      <c r="H41" s="98">
        <f t="shared" si="4"/>
        <v>0.10059999999999999</v>
      </c>
    </row>
    <row r="42" spans="1:8" ht="13.9" x14ac:dyDescent="0.4">
      <c r="B42" s="15" t="s">
        <v>541</v>
      </c>
      <c r="C42" s="15"/>
      <c r="D42" s="98">
        <f>SUM(D39:D40,D36,D35)</f>
        <v>7.3869687109728993E-3</v>
      </c>
      <c r="E42" s="98">
        <f t="shared" ref="E42:H42" si="5">SUM(E39:E40,E36,E35)</f>
        <v>6.8608905444813998E-3</v>
      </c>
      <c r="F42" s="98">
        <f t="shared" si="5"/>
        <v>7.5493195233637999E-3</v>
      </c>
      <c r="G42" s="98">
        <f t="shared" si="5"/>
        <v>6.8227014663443993E-3</v>
      </c>
      <c r="H42" s="98">
        <f t="shared" si="5"/>
        <v>6.6E-3</v>
      </c>
    </row>
    <row r="43" spans="1:8" x14ac:dyDescent="0.35">
      <c r="D43" s="92"/>
      <c r="E43" s="92"/>
      <c r="F43" s="92"/>
      <c r="G43" s="92"/>
      <c r="H43" s="92"/>
    </row>
    <row r="44" spans="1:8" ht="13.9" x14ac:dyDescent="0.4">
      <c r="A44" s="15" t="s">
        <v>544</v>
      </c>
      <c r="D44" s="92"/>
      <c r="E44" s="92"/>
      <c r="F44" s="92"/>
      <c r="G44" s="92"/>
      <c r="H44" s="92"/>
    </row>
    <row r="45" spans="1:8" ht="13.9" x14ac:dyDescent="0.4">
      <c r="A45" s="15" t="s">
        <v>528</v>
      </c>
      <c r="B45" s="15" t="s">
        <v>529</v>
      </c>
      <c r="C45" s="15" t="s">
        <v>530</v>
      </c>
      <c r="D45" s="15">
        <v>2016</v>
      </c>
      <c r="E45" s="15">
        <v>2017</v>
      </c>
      <c r="F45" s="15">
        <v>2018</v>
      </c>
      <c r="G45" s="15">
        <v>2019</v>
      </c>
      <c r="H45" s="15">
        <v>2020</v>
      </c>
    </row>
    <row r="46" spans="1:8" x14ac:dyDescent="0.35">
      <c r="A46" s="11" t="s">
        <v>531</v>
      </c>
      <c r="B46" s="11" t="s">
        <v>532</v>
      </c>
      <c r="C46" s="11" t="s">
        <v>533</v>
      </c>
      <c r="D46" s="96">
        <v>43.090098812167035</v>
      </c>
      <c r="E46" s="96">
        <v>41.771269607801294</v>
      </c>
      <c r="F46" s="96">
        <v>41.139373892711056</v>
      </c>
      <c r="G46" s="96">
        <v>44.975288298880976</v>
      </c>
      <c r="H46" s="96">
        <f>35.22+0.01</f>
        <v>35.229999999999997</v>
      </c>
    </row>
    <row r="47" spans="1:8" x14ac:dyDescent="0.35">
      <c r="A47" s="11" t="s">
        <v>534</v>
      </c>
      <c r="B47" s="11" t="s">
        <v>535</v>
      </c>
      <c r="C47" s="11" t="s">
        <v>536</v>
      </c>
      <c r="D47" s="96">
        <v>0.48604567432594314</v>
      </c>
      <c r="E47" s="96">
        <v>0.79976615296452314</v>
      </c>
      <c r="F47" s="96">
        <v>1.6839249950276205</v>
      </c>
      <c r="G47" s="96">
        <v>2.0404770698357639</v>
      </c>
      <c r="H47" s="96">
        <v>1.97</v>
      </c>
    </row>
    <row r="48" spans="1:8" x14ac:dyDescent="0.35">
      <c r="A48" s="11" t="s">
        <v>537</v>
      </c>
      <c r="B48" s="11" t="s">
        <v>459</v>
      </c>
      <c r="C48" s="11" t="s">
        <v>536</v>
      </c>
      <c r="D48" s="96">
        <v>0.39148253697887997</v>
      </c>
      <c r="E48" s="96">
        <v>0.13841504534980797</v>
      </c>
      <c r="F48" s="96">
        <v>0.50820129622080001</v>
      </c>
      <c r="G48" s="96">
        <v>1.16942144427072</v>
      </c>
      <c r="H48" s="96">
        <v>0.23</v>
      </c>
    </row>
    <row r="49" spans="1:8" x14ac:dyDescent="0.35">
      <c r="A49" s="11" t="s">
        <v>537</v>
      </c>
      <c r="B49" s="11" t="s">
        <v>487</v>
      </c>
      <c r="C49" s="11" t="s">
        <v>536</v>
      </c>
      <c r="D49" s="96">
        <v>6.3852398054557558</v>
      </c>
      <c r="E49" s="96">
        <v>9.417190611841761</v>
      </c>
      <c r="F49" s="96">
        <v>16.643997336879288</v>
      </c>
      <c r="G49" s="96">
        <v>22.956038936404557</v>
      </c>
      <c r="H49" s="96">
        <v>16.71</v>
      </c>
    </row>
    <row r="50" spans="1:8" x14ac:dyDescent="0.35">
      <c r="A50" s="11" t="s">
        <v>538</v>
      </c>
      <c r="B50" s="11" t="s">
        <v>539</v>
      </c>
      <c r="C50" s="11" t="s">
        <v>536</v>
      </c>
      <c r="D50" s="96">
        <v>4.4745784239977739</v>
      </c>
      <c r="E50" s="96">
        <v>4.2029094665006328</v>
      </c>
      <c r="F50" s="96">
        <v>3.7724371396895817</v>
      </c>
      <c r="G50" s="96">
        <v>4.6896886819283194</v>
      </c>
      <c r="H50" s="96">
        <v>4.38</v>
      </c>
    </row>
    <row r="51" spans="1:8" x14ac:dyDescent="0.35">
      <c r="A51" s="11" t="s">
        <v>534</v>
      </c>
      <c r="B51" s="11" t="s">
        <v>484</v>
      </c>
      <c r="C51" s="11" t="s">
        <v>536</v>
      </c>
      <c r="D51" s="99" t="s">
        <v>441</v>
      </c>
      <c r="E51" s="99" t="s">
        <v>441</v>
      </c>
      <c r="F51" s="99" t="s">
        <v>441</v>
      </c>
      <c r="G51" s="99" t="s">
        <v>441</v>
      </c>
      <c r="H51" s="99" t="s">
        <v>441</v>
      </c>
    </row>
    <row r="52" spans="1:8" x14ac:dyDescent="0.35">
      <c r="A52" s="11" t="s">
        <v>537</v>
      </c>
      <c r="B52" s="11" t="s">
        <v>486</v>
      </c>
      <c r="C52" s="11" t="s">
        <v>536</v>
      </c>
      <c r="D52" s="96">
        <v>4.2659589576995997E-2</v>
      </c>
      <c r="E52" s="96">
        <v>6.5186589342167992E-2</v>
      </c>
      <c r="F52" s="96">
        <v>9.6304145633841598E-2</v>
      </c>
      <c r="G52" s="96">
        <v>0.21114786547789197</v>
      </c>
      <c r="H52" s="96">
        <v>0.02</v>
      </c>
    </row>
    <row r="53" spans="1:8" x14ac:dyDescent="0.35">
      <c r="A53" s="11" t="s">
        <v>537</v>
      </c>
      <c r="B53" s="11" t="s">
        <v>460</v>
      </c>
      <c r="C53" s="11" t="s">
        <v>540</v>
      </c>
      <c r="D53" s="96">
        <v>13.92971242640604</v>
      </c>
      <c r="E53" s="96">
        <v>23.523053295364797</v>
      </c>
      <c r="F53" s="96">
        <v>25.883381222961599</v>
      </c>
      <c r="G53" s="96">
        <v>23.3921193131808</v>
      </c>
      <c r="H53" s="96">
        <v>22.58</v>
      </c>
    </row>
    <row r="54" spans="1:8" ht="13.9" x14ac:dyDescent="0.4">
      <c r="B54" s="15" t="s">
        <v>5</v>
      </c>
      <c r="C54" s="15"/>
      <c r="D54" s="100">
        <f>SUM(D46:D53)</f>
        <v>68.799817268908427</v>
      </c>
      <c r="E54" s="100">
        <f>SUM(E46:E53)</f>
        <v>79.917790769164981</v>
      </c>
      <c r="F54" s="100">
        <f>SUM(F46:F53)</f>
        <v>89.727620029123784</v>
      </c>
      <c r="G54" s="100">
        <f>SUM(G46:G53)</f>
        <v>99.434181609979035</v>
      </c>
      <c r="H54" s="100">
        <f>SUM(H46:H53)</f>
        <v>81.12</v>
      </c>
    </row>
    <row r="55" spans="1:8" ht="13.9" x14ac:dyDescent="0.4">
      <c r="B55" s="15" t="s">
        <v>541</v>
      </c>
      <c r="C55" s="15"/>
      <c r="D55" s="100">
        <f>SUM(D52:D53,D49,D48)</f>
        <v>20.749094358417672</v>
      </c>
      <c r="E55" s="100">
        <f>SUM(E52:E53,E49,E48)</f>
        <v>33.143845541898536</v>
      </c>
      <c r="F55" s="100">
        <f>SUM(F52:F53,F49,F48)</f>
        <v>43.131884001695525</v>
      </c>
      <c r="G55" s="100">
        <f>SUM(G52:G53,G49,G48)</f>
        <v>47.728727559333969</v>
      </c>
      <c r="H55" s="100">
        <f>SUM(H52:H53,H49,H48)</f>
        <v>39.54</v>
      </c>
    </row>
    <row r="57" spans="1:8" ht="14.25" x14ac:dyDescent="0.45">
      <c r="G57"/>
      <c r="H5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79FD-6723-4694-B49D-8CD9E6EAC1C2}">
  <dimension ref="A1:E9"/>
  <sheetViews>
    <sheetView workbookViewId="0">
      <selection activeCell="J34" sqref="J34"/>
    </sheetView>
  </sheetViews>
  <sheetFormatPr defaultRowHeight="14.25" x14ac:dyDescent="0.45"/>
  <cols>
    <col min="1" max="1" width="30.73046875" bestFit="1" customWidth="1"/>
  </cols>
  <sheetData>
    <row r="1" spans="1:5" x14ac:dyDescent="0.45">
      <c r="A1" s="53"/>
      <c r="B1" s="79">
        <v>2016</v>
      </c>
      <c r="C1" s="79">
        <v>2017</v>
      </c>
      <c r="D1" s="79">
        <v>2018</v>
      </c>
      <c r="E1" s="79">
        <v>2019</v>
      </c>
    </row>
    <row r="2" spans="1:5" x14ac:dyDescent="0.45">
      <c r="A2" s="53" t="s">
        <v>516</v>
      </c>
      <c r="B2" s="74">
        <v>0.73278799999999999</v>
      </c>
      <c r="C2" s="74">
        <v>0.73809100000000005</v>
      </c>
      <c r="D2" s="74">
        <v>0.73316700000000001</v>
      </c>
      <c r="E2" s="74">
        <v>0.74990100000000004</v>
      </c>
    </row>
    <row r="3" spans="1:5" x14ac:dyDescent="0.45">
      <c r="A3" s="53" t="s">
        <v>520</v>
      </c>
      <c r="B3" s="74">
        <v>1.7783895444228717</v>
      </c>
      <c r="C3" s="74">
        <v>1.7631751523670969</v>
      </c>
      <c r="D3" s="74">
        <v>1.731798132981643</v>
      </c>
      <c r="E3" s="74">
        <v>1.8434520052011427</v>
      </c>
    </row>
    <row r="4" spans="1:5" x14ac:dyDescent="0.45">
      <c r="A4" s="53" t="s">
        <v>521</v>
      </c>
      <c r="B4" s="74">
        <v>5.0297675062563477E-3</v>
      </c>
      <c r="C4" s="74">
        <v>5.1544268590746675E-3</v>
      </c>
      <c r="D4" s="74">
        <v>6.0262103000473053E-3</v>
      </c>
      <c r="E4" s="74">
        <v>9.0262287819959097E-3</v>
      </c>
    </row>
    <row r="5" spans="1:5" x14ac:dyDescent="0.45">
      <c r="A5" s="53" t="s">
        <v>517</v>
      </c>
      <c r="B5" s="74">
        <v>0.32533122859520508</v>
      </c>
      <c r="C5" s="74">
        <v>0.32175276604431924</v>
      </c>
      <c r="D5" s="74">
        <v>0.32138539459807214</v>
      </c>
      <c r="E5" s="74">
        <v>0.32421999219393094</v>
      </c>
    </row>
    <row r="6" spans="1:5" x14ac:dyDescent="0.45">
      <c r="A6" s="53" t="s">
        <v>522</v>
      </c>
      <c r="B6" s="74">
        <v>1.8909781319912971</v>
      </c>
      <c r="C6" s="74">
        <v>2.026008887510327</v>
      </c>
      <c r="D6" s="74">
        <v>2.0360575236675578</v>
      </c>
      <c r="E6" s="74">
        <v>2.1742543069847433</v>
      </c>
    </row>
    <row r="7" spans="1:5" x14ac:dyDescent="0.45">
      <c r="A7" s="53" t="s">
        <v>518</v>
      </c>
      <c r="B7" s="74">
        <v>3.7593901666331084</v>
      </c>
      <c r="C7" s="74">
        <v>3.7113301660667508</v>
      </c>
      <c r="D7" s="74">
        <v>3.8868041206257957</v>
      </c>
      <c r="E7" s="74">
        <v>3.9504567993246162</v>
      </c>
    </row>
    <row r="8" spans="1:5" x14ac:dyDescent="0.45">
      <c r="A8" s="53" t="s">
        <v>519</v>
      </c>
      <c r="B8" s="74">
        <v>0.9576513017127618</v>
      </c>
      <c r="C8" s="74">
        <v>0.94585081045327191</v>
      </c>
      <c r="D8" s="74">
        <v>0.94839570619816649</v>
      </c>
      <c r="E8" s="74">
        <v>0.95063260612139999</v>
      </c>
    </row>
    <row r="9" spans="1:5" x14ac:dyDescent="0.45">
      <c r="A9" s="53" t="s">
        <v>5</v>
      </c>
      <c r="B9" s="74">
        <f>SUM(B2:B8)</f>
        <v>9.4495581408614999</v>
      </c>
      <c r="C9" s="74">
        <f t="shared" ref="C9:E9" si="0">SUM(C2:C8)</f>
        <v>9.5113632093008427</v>
      </c>
      <c r="D9" s="74">
        <f t="shared" si="0"/>
        <v>9.6636340883712819</v>
      </c>
      <c r="E9" s="74">
        <f t="shared" si="0"/>
        <v>10.001942938607829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0D28-984B-4E0A-B7C5-2E314EDA8FE9}">
  <dimension ref="A17:D18"/>
  <sheetViews>
    <sheetView workbookViewId="0">
      <selection activeCell="A17" sqref="A17:D18"/>
    </sheetView>
  </sheetViews>
  <sheetFormatPr defaultRowHeight="14.25" x14ac:dyDescent="0.45"/>
  <sheetData>
    <row r="17" spans="1:4" x14ac:dyDescent="0.45">
      <c r="A17" s="102" t="s">
        <v>630</v>
      </c>
      <c r="B17" s="102"/>
      <c r="C17" s="102"/>
      <c r="D17" s="102"/>
    </row>
    <row r="18" spans="1:4" x14ac:dyDescent="0.45">
      <c r="A18" s="102"/>
      <c r="B18" s="102"/>
      <c r="C18" s="102"/>
      <c r="D18" s="10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1DDA-9E12-45CD-AED4-C568861D8F8F}">
  <dimension ref="A10:C16"/>
  <sheetViews>
    <sheetView topLeftCell="A7" workbookViewId="0">
      <selection activeCell="N41" sqref="N41"/>
    </sheetView>
  </sheetViews>
  <sheetFormatPr defaultRowHeight="14.25" x14ac:dyDescent="0.45"/>
  <sheetData>
    <row r="10" spans="1:3" x14ac:dyDescent="0.45">
      <c r="B10" t="s">
        <v>525</v>
      </c>
    </row>
    <row r="11" spans="1:3" x14ac:dyDescent="0.45">
      <c r="B11" t="s">
        <v>523</v>
      </c>
      <c r="C11" t="s">
        <v>524</v>
      </c>
    </row>
    <row r="12" spans="1:3" x14ac:dyDescent="0.45">
      <c r="A12" s="53">
        <v>2016</v>
      </c>
      <c r="B12" s="91">
        <v>1.743807065830183</v>
      </c>
      <c r="C12" s="91">
        <v>1.7783895444228717</v>
      </c>
    </row>
    <row r="13" spans="1:3" x14ac:dyDescent="0.45">
      <c r="A13" s="53">
        <v>2017</v>
      </c>
      <c r="B13" s="91">
        <v>1.7118984338524581</v>
      </c>
      <c r="C13" s="91">
        <v>1.7631751523670969</v>
      </c>
    </row>
    <row r="14" spans="1:3" x14ac:dyDescent="0.45">
      <c r="A14" s="53">
        <v>2018</v>
      </c>
      <c r="B14" s="91">
        <v>1.750764853600826</v>
      </c>
      <c r="C14" s="91">
        <v>1.731798132981643</v>
      </c>
    </row>
    <row r="15" spans="1:3" x14ac:dyDescent="0.45">
      <c r="A15" s="53">
        <v>2019</v>
      </c>
      <c r="B15" s="91">
        <v>1.997117639958758</v>
      </c>
      <c r="C15" s="91">
        <v>1.8434520052011427</v>
      </c>
    </row>
    <row r="16" spans="1:3" x14ac:dyDescent="0.45">
      <c r="A16" s="53">
        <v>2020</v>
      </c>
      <c r="B16" s="91">
        <v>1.7189865623502714</v>
      </c>
      <c r="C16" s="91">
        <v>1.5563878537439</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9B61-C7D4-4259-9FF6-D628F6700E83}">
  <dimension ref="A1:E9"/>
  <sheetViews>
    <sheetView workbookViewId="0">
      <selection activeCell="A8" sqref="A8:D9"/>
    </sheetView>
  </sheetViews>
  <sheetFormatPr defaultRowHeight="14.25" x14ac:dyDescent="0.45"/>
  <cols>
    <col min="1" max="1" width="25.1328125" customWidth="1"/>
    <col min="2" max="5" width="12.73046875" customWidth="1"/>
  </cols>
  <sheetData>
    <row r="1" spans="1:5" ht="14.65" thickBot="1" x14ac:dyDescent="0.5">
      <c r="A1" s="61"/>
      <c r="B1" s="233" t="s">
        <v>89</v>
      </c>
      <c r="C1" s="234"/>
      <c r="D1" s="233" t="s">
        <v>90</v>
      </c>
      <c r="E1" s="234"/>
    </row>
    <row r="2" spans="1:5" ht="27.4" thickBot="1" x14ac:dyDescent="0.5">
      <c r="A2" s="62" t="s">
        <v>91</v>
      </c>
      <c r="B2" s="63" t="s">
        <v>92</v>
      </c>
      <c r="C2" s="63" t="s">
        <v>93</v>
      </c>
      <c r="D2" s="63" t="s">
        <v>92</v>
      </c>
      <c r="E2" s="63" t="s">
        <v>93</v>
      </c>
    </row>
    <row r="3" spans="1:5" ht="14.65" thickBot="1" x14ac:dyDescent="0.5">
      <c r="A3" s="19" t="s">
        <v>94</v>
      </c>
      <c r="B3" s="64">
        <v>0.05</v>
      </c>
      <c r="C3" s="64">
        <v>0.13</v>
      </c>
      <c r="D3" s="64">
        <v>0.02</v>
      </c>
      <c r="E3" s="64">
        <v>0.1</v>
      </c>
    </row>
    <row r="4" spans="1:5" ht="14.65" thickBot="1" x14ac:dyDescent="0.5">
      <c r="A4" s="19" t="s">
        <v>95</v>
      </c>
      <c r="B4" s="64">
        <v>0.09</v>
      </c>
      <c r="C4" s="64">
        <v>0.11</v>
      </c>
      <c r="D4" s="64">
        <v>0.4</v>
      </c>
      <c r="E4" s="64">
        <v>0.5</v>
      </c>
    </row>
    <row r="5" spans="1:5" ht="14.65" thickBot="1" x14ac:dyDescent="0.5">
      <c r="A5" s="19" t="s">
        <v>96</v>
      </c>
      <c r="B5" s="64">
        <v>7.0000000000000007E-2</v>
      </c>
      <c r="C5" s="64">
        <v>7.0000000000000007E-2</v>
      </c>
      <c r="D5" s="64">
        <v>0.28999999999999998</v>
      </c>
      <c r="E5" s="64">
        <v>0.28000000000000003</v>
      </c>
    </row>
    <row r="6" spans="1:5" ht="14.65" thickBot="1" x14ac:dyDescent="0.5">
      <c r="A6" s="19" t="s">
        <v>97</v>
      </c>
      <c r="B6" s="64">
        <v>0.08</v>
      </c>
      <c r="C6" s="64">
        <v>7.0000000000000007E-2</v>
      </c>
      <c r="D6" s="64">
        <v>0.17</v>
      </c>
      <c r="E6" s="64">
        <v>0.27</v>
      </c>
    </row>
    <row r="8" spans="1:5" ht="39.4" customHeight="1" x14ac:dyDescent="0.45">
      <c r="A8" s="252" t="s">
        <v>650</v>
      </c>
      <c r="B8" s="252"/>
      <c r="C8" s="252"/>
      <c r="D8" s="252"/>
    </row>
    <row r="9" spans="1:5" ht="26.25" customHeight="1" x14ac:dyDescent="0.45">
      <c r="A9" s="252" t="s">
        <v>651</v>
      </c>
      <c r="B9" s="252"/>
      <c r="C9" s="252"/>
      <c r="D9" s="252"/>
    </row>
  </sheetData>
  <mergeCells count="4">
    <mergeCell ref="B1:C1"/>
    <mergeCell ref="D1:E1"/>
    <mergeCell ref="A8:D8"/>
    <mergeCell ref="A9:D9"/>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F94E-F484-45D1-AE67-1CF431135BCD}">
  <dimension ref="A1:F23"/>
  <sheetViews>
    <sheetView workbookViewId="0">
      <selection activeCell="Q32" sqref="Q32"/>
    </sheetView>
  </sheetViews>
  <sheetFormatPr defaultRowHeight="14.25" x14ac:dyDescent="0.45"/>
  <cols>
    <col min="1" max="1" width="19" bestFit="1" customWidth="1"/>
    <col min="3" max="3" width="20.265625" bestFit="1" customWidth="1"/>
    <col min="4" max="4" width="11.265625" bestFit="1" customWidth="1"/>
  </cols>
  <sheetData>
    <row r="1" spans="1:6" x14ac:dyDescent="0.45">
      <c r="B1" s="56">
        <v>2020</v>
      </c>
      <c r="C1" s="56" t="s">
        <v>88</v>
      </c>
    </row>
    <row r="2" spans="1:6" x14ac:dyDescent="0.45">
      <c r="A2" t="s">
        <v>16</v>
      </c>
      <c r="B2" s="57">
        <v>1.6E-2</v>
      </c>
      <c r="C2" s="57">
        <v>5.9400000000000001E-2</v>
      </c>
    </row>
    <row r="3" spans="1:6" x14ac:dyDescent="0.45">
      <c r="A3" t="s">
        <v>17</v>
      </c>
      <c r="B3" s="57">
        <v>5.6000000000000001E-2</v>
      </c>
      <c r="C3" s="57">
        <v>6.6600000000000006E-2</v>
      </c>
      <c r="F3" t="s">
        <v>629</v>
      </c>
    </row>
    <row r="4" spans="1:6" x14ac:dyDescent="0.45">
      <c r="A4" t="s">
        <v>18</v>
      </c>
      <c r="B4" s="57">
        <v>0.16</v>
      </c>
      <c r="C4" s="57">
        <v>0.19189999999999999</v>
      </c>
    </row>
    <row r="20" spans="1:4" x14ac:dyDescent="0.45">
      <c r="B20" s="56"/>
      <c r="C20" s="58"/>
      <c r="D20" s="56"/>
    </row>
    <row r="21" spans="1:4" x14ac:dyDescent="0.45">
      <c r="A21" s="56"/>
      <c r="B21" s="59"/>
      <c r="C21" s="59"/>
      <c r="D21" s="59"/>
    </row>
    <row r="22" spans="1:4" x14ac:dyDescent="0.45">
      <c r="A22" s="56"/>
      <c r="B22" s="59"/>
      <c r="C22" s="59"/>
      <c r="D22" s="59"/>
    </row>
    <row r="23" spans="1:4" x14ac:dyDescent="0.45">
      <c r="A23" s="60"/>
    </row>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AA97-7C3B-4D08-A078-1F0C487D0492}">
  <dimension ref="B32:F32"/>
  <sheetViews>
    <sheetView topLeftCell="A7" workbookViewId="0">
      <selection activeCell="B32" sqref="B32:F32"/>
    </sheetView>
  </sheetViews>
  <sheetFormatPr defaultRowHeight="14.25" x14ac:dyDescent="0.45"/>
  <sheetData>
    <row r="32" spans="2:6" x14ac:dyDescent="0.45">
      <c r="B32" s="102" t="s">
        <v>631</v>
      </c>
      <c r="C32" s="102"/>
      <c r="D32" s="102"/>
      <c r="E32" s="102"/>
      <c r="F32" s="10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434AA-3399-433A-A9BF-DC56CD75B12F}">
  <dimension ref="A1"/>
  <sheetViews>
    <sheetView topLeftCell="A13" workbookViewId="0">
      <selection activeCell="G24" sqref="G24"/>
    </sheetView>
  </sheetViews>
  <sheetFormatPr defaultRowHeight="14.25" x14ac:dyDescent="0.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0CFD-3A3D-4FA0-9583-DE230D4B9AE9}">
  <dimension ref="A2:E31"/>
  <sheetViews>
    <sheetView workbookViewId="0">
      <selection activeCell="F1" sqref="F1:I1048576"/>
    </sheetView>
  </sheetViews>
  <sheetFormatPr defaultRowHeight="14.25" x14ac:dyDescent="0.45"/>
  <cols>
    <col min="1" max="5" width="18.1328125" style="236" customWidth="1"/>
  </cols>
  <sheetData>
    <row r="2" ht="26.75" customHeight="1" x14ac:dyDescent="0.45"/>
    <row r="3" ht="26.75" customHeight="1" x14ac:dyDescent="0.45"/>
    <row r="4" ht="26.75" customHeight="1" x14ac:dyDescent="0.45"/>
    <row r="5" ht="26.75" customHeight="1" x14ac:dyDescent="0.45"/>
    <row r="6" ht="26.75" customHeight="1" x14ac:dyDescent="0.45"/>
    <row r="7" ht="26.75" customHeight="1" x14ac:dyDescent="0.45"/>
    <row r="8" ht="26.75" customHeight="1" x14ac:dyDescent="0.45"/>
    <row r="9" ht="26.75" customHeight="1" x14ac:dyDescent="0.45"/>
    <row r="10" ht="26.75" customHeight="1" x14ac:dyDescent="0.45"/>
    <row r="11" ht="26.75" customHeight="1" x14ac:dyDescent="0.45"/>
    <row r="12" ht="26.75" customHeight="1" x14ac:dyDescent="0.45"/>
    <row r="13" ht="26.75" customHeight="1" x14ac:dyDescent="0.45"/>
    <row r="14" ht="26.75" customHeight="1" x14ac:dyDescent="0.45"/>
    <row r="15" ht="26.75" customHeight="1" x14ac:dyDescent="0.45"/>
    <row r="16" ht="26.75" customHeight="1" x14ac:dyDescent="0.45"/>
    <row r="17" ht="26.75" customHeight="1" x14ac:dyDescent="0.45"/>
    <row r="18" ht="26.75" customHeight="1" x14ac:dyDescent="0.45"/>
    <row r="19" ht="26.75" customHeight="1" x14ac:dyDescent="0.45"/>
    <row r="20" ht="26.75" customHeight="1" x14ac:dyDescent="0.45"/>
    <row r="21" ht="26.75" customHeight="1" x14ac:dyDescent="0.45"/>
    <row r="22" ht="26.75" customHeight="1" x14ac:dyDescent="0.45"/>
    <row r="29" ht="46.9" customHeight="1" x14ac:dyDescent="0.45"/>
    <row r="31" ht="40.15" customHeight="1" x14ac:dyDescent="0.4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23209-D7AF-4638-9BA9-2779AB1704F2}">
  <dimension ref="A1:K49"/>
  <sheetViews>
    <sheetView topLeftCell="A4" workbookViewId="0">
      <selection activeCell="A30" sqref="A30:XFD30"/>
    </sheetView>
  </sheetViews>
  <sheetFormatPr defaultRowHeight="14.25" x14ac:dyDescent="0.45"/>
  <cols>
    <col min="1" max="1" width="40.86328125" customWidth="1"/>
    <col min="2" max="11" width="8" customWidth="1"/>
  </cols>
  <sheetData>
    <row r="1" spans="1:11" ht="15.4" thickBot="1" x14ac:dyDescent="0.5">
      <c r="A1" s="20"/>
      <c r="B1" s="21"/>
      <c r="C1" s="202" t="s">
        <v>22</v>
      </c>
      <c r="D1" s="203"/>
      <c r="E1" s="203"/>
      <c r="F1" s="204"/>
      <c r="G1" s="205" t="s">
        <v>23</v>
      </c>
      <c r="H1" s="206"/>
      <c r="I1" s="206"/>
      <c r="J1" s="207"/>
      <c r="K1" s="22"/>
    </row>
    <row r="2" spans="1:11" ht="141.4" customHeight="1" thickBot="1" x14ac:dyDescent="0.5">
      <c r="A2" s="23"/>
      <c r="B2" s="24" t="s">
        <v>24</v>
      </c>
      <c r="C2" s="24" t="s">
        <v>25</v>
      </c>
      <c r="D2" s="24" t="s">
        <v>26</v>
      </c>
      <c r="E2" s="24" t="s">
        <v>27</v>
      </c>
      <c r="F2" s="24" t="s">
        <v>5</v>
      </c>
      <c r="G2" s="24" t="s">
        <v>25</v>
      </c>
      <c r="H2" s="24" t="s">
        <v>26</v>
      </c>
      <c r="I2" s="24" t="s">
        <v>27</v>
      </c>
      <c r="J2" s="24" t="s">
        <v>5</v>
      </c>
      <c r="K2" s="24" t="s">
        <v>28</v>
      </c>
    </row>
    <row r="3" spans="1:11" ht="19.899999999999999" customHeight="1" thickBot="1" x14ac:dyDescent="0.5">
      <c r="A3" s="25" t="s">
        <v>19</v>
      </c>
      <c r="B3" s="26"/>
      <c r="C3" s="26"/>
      <c r="D3" s="26"/>
      <c r="E3" s="27"/>
      <c r="F3" s="27"/>
      <c r="G3" s="26"/>
      <c r="H3" s="26"/>
      <c r="I3" s="27"/>
      <c r="J3" s="27"/>
      <c r="K3" s="27"/>
    </row>
    <row r="4" spans="1:11" ht="19.899999999999999" customHeight="1" thickBot="1" x14ac:dyDescent="0.5">
      <c r="A4" s="28" t="s">
        <v>29</v>
      </c>
      <c r="B4" s="29">
        <v>1</v>
      </c>
      <c r="C4" s="29">
        <v>12</v>
      </c>
      <c r="D4" s="29">
        <v>9</v>
      </c>
      <c r="E4" s="30">
        <v>8</v>
      </c>
      <c r="F4" s="30">
        <v>29</v>
      </c>
      <c r="G4" s="29">
        <v>6</v>
      </c>
      <c r="H4" s="30">
        <v>4</v>
      </c>
      <c r="I4" s="30">
        <v>5</v>
      </c>
      <c r="J4" s="30">
        <v>15</v>
      </c>
      <c r="K4" s="30">
        <v>44</v>
      </c>
    </row>
    <row r="5" spans="1:11" ht="19.899999999999999" customHeight="1" thickBot="1" x14ac:dyDescent="0.5">
      <c r="A5" s="31" t="s">
        <v>30</v>
      </c>
      <c r="B5" s="32">
        <v>2</v>
      </c>
      <c r="C5" s="32">
        <v>2</v>
      </c>
      <c r="D5" s="32">
        <v>4</v>
      </c>
      <c r="E5" s="33">
        <v>4</v>
      </c>
      <c r="F5" s="33">
        <v>10</v>
      </c>
      <c r="G5" s="32">
        <v>4</v>
      </c>
      <c r="H5" s="26"/>
      <c r="I5" s="33">
        <v>3</v>
      </c>
      <c r="J5" s="33">
        <v>7</v>
      </c>
      <c r="K5" s="33">
        <v>17</v>
      </c>
    </row>
    <row r="6" spans="1:11" ht="19.899999999999999" customHeight="1" thickBot="1" x14ac:dyDescent="0.5">
      <c r="A6" s="28" t="s">
        <v>31</v>
      </c>
      <c r="B6" s="29">
        <v>3</v>
      </c>
      <c r="C6" s="29">
        <v>10</v>
      </c>
      <c r="D6" s="29">
        <v>8</v>
      </c>
      <c r="E6" s="30">
        <v>8</v>
      </c>
      <c r="F6" s="30">
        <v>26</v>
      </c>
      <c r="G6" s="29">
        <v>1</v>
      </c>
      <c r="H6" s="34"/>
      <c r="I6" s="30">
        <v>1</v>
      </c>
      <c r="J6" s="30">
        <v>2</v>
      </c>
      <c r="K6" s="30">
        <v>28</v>
      </c>
    </row>
    <row r="7" spans="1:11" ht="19.899999999999999" customHeight="1" thickBot="1" x14ac:dyDescent="0.5">
      <c r="A7" s="35" t="s">
        <v>32</v>
      </c>
      <c r="B7" s="26"/>
      <c r="C7" s="32">
        <v>24</v>
      </c>
      <c r="D7" s="32">
        <v>21</v>
      </c>
      <c r="E7" s="32">
        <v>20</v>
      </c>
      <c r="F7" s="27"/>
      <c r="G7" s="32">
        <v>11</v>
      </c>
      <c r="H7" s="32">
        <v>4</v>
      </c>
      <c r="I7" s="32">
        <v>9</v>
      </c>
      <c r="J7" s="33">
        <v>24</v>
      </c>
      <c r="K7" s="27"/>
    </row>
    <row r="8" spans="1:11" ht="19.899999999999999" customHeight="1" thickBot="1" x14ac:dyDescent="0.5">
      <c r="A8" s="25" t="s">
        <v>33</v>
      </c>
      <c r="B8" s="26"/>
      <c r="C8" s="26"/>
      <c r="D8" s="26"/>
      <c r="E8" s="26"/>
      <c r="F8" s="26"/>
      <c r="G8" s="26"/>
      <c r="H8" s="26"/>
      <c r="I8" s="26"/>
      <c r="J8" s="27"/>
      <c r="K8" s="26"/>
    </row>
    <row r="9" spans="1:11" ht="19.899999999999999" customHeight="1" thickBot="1" x14ac:dyDescent="0.5">
      <c r="A9" s="28" t="s">
        <v>34</v>
      </c>
      <c r="B9" s="29">
        <v>4</v>
      </c>
      <c r="C9" s="29">
        <v>8</v>
      </c>
      <c r="D9" s="29">
        <v>4</v>
      </c>
      <c r="E9" s="30">
        <v>4</v>
      </c>
      <c r="F9" s="30">
        <v>16</v>
      </c>
      <c r="G9" s="29">
        <v>3</v>
      </c>
      <c r="H9" s="30">
        <v>1</v>
      </c>
      <c r="I9" s="30">
        <v>4</v>
      </c>
      <c r="J9" s="30">
        <v>8</v>
      </c>
      <c r="K9" s="30">
        <v>24</v>
      </c>
    </row>
    <row r="10" spans="1:11" ht="19.899999999999999" customHeight="1" thickBot="1" x14ac:dyDescent="0.5">
      <c r="A10" s="31" t="s">
        <v>35</v>
      </c>
      <c r="B10" s="32">
        <v>5</v>
      </c>
      <c r="C10" s="26"/>
      <c r="D10" s="32">
        <v>3</v>
      </c>
      <c r="E10" s="32">
        <v>2</v>
      </c>
      <c r="F10" s="33">
        <v>5</v>
      </c>
      <c r="G10" s="26"/>
      <c r="H10" s="26"/>
      <c r="I10" s="26"/>
      <c r="J10" s="33">
        <v>0</v>
      </c>
      <c r="K10" s="33">
        <v>5</v>
      </c>
    </row>
    <row r="11" spans="1:11" ht="19.899999999999999" customHeight="1" thickBot="1" x14ac:dyDescent="0.5">
      <c r="A11" s="31" t="s">
        <v>36</v>
      </c>
      <c r="B11" s="32">
        <v>6</v>
      </c>
      <c r="C11" s="32">
        <v>5</v>
      </c>
      <c r="D11" s="32">
        <v>1</v>
      </c>
      <c r="E11" s="32">
        <v>4</v>
      </c>
      <c r="F11" s="33">
        <v>10</v>
      </c>
      <c r="G11" s="32">
        <v>2</v>
      </c>
      <c r="H11" s="32">
        <v>2</v>
      </c>
      <c r="I11" s="32">
        <v>2</v>
      </c>
      <c r="J11" s="33">
        <v>6</v>
      </c>
      <c r="K11" s="33">
        <v>16</v>
      </c>
    </row>
    <row r="12" spans="1:11" ht="19.899999999999999" customHeight="1" thickBot="1" x14ac:dyDescent="0.5">
      <c r="A12" s="31" t="s">
        <v>37</v>
      </c>
      <c r="B12" s="32">
        <v>7</v>
      </c>
      <c r="C12" s="32">
        <v>1</v>
      </c>
      <c r="D12" s="32">
        <v>3</v>
      </c>
      <c r="E12" s="32">
        <v>1</v>
      </c>
      <c r="F12" s="33">
        <v>5</v>
      </c>
      <c r="G12" s="26"/>
      <c r="H12" s="26"/>
      <c r="I12" s="26"/>
      <c r="J12" s="33">
        <v>0</v>
      </c>
      <c r="K12" s="33">
        <v>5</v>
      </c>
    </row>
    <row r="13" spans="1:11" ht="19.899999999999999" customHeight="1" thickBot="1" x14ac:dyDescent="0.5">
      <c r="A13" s="28" t="s">
        <v>38</v>
      </c>
      <c r="B13" s="29">
        <v>8</v>
      </c>
      <c r="C13" s="29">
        <v>2</v>
      </c>
      <c r="D13" s="29">
        <v>5</v>
      </c>
      <c r="E13" s="30">
        <v>5</v>
      </c>
      <c r="F13" s="30">
        <v>12</v>
      </c>
      <c r="G13" s="29">
        <v>3</v>
      </c>
      <c r="H13" s="30">
        <v>4</v>
      </c>
      <c r="I13" s="30">
        <v>1</v>
      </c>
      <c r="J13" s="30">
        <v>8</v>
      </c>
      <c r="K13" s="30">
        <v>20</v>
      </c>
    </row>
    <row r="14" spans="1:11" ht="19.899999999999999" customHeight="1" thickBot="1" x14ac:dyDescent="0.5">
      <c r="A14" s="35" t="s">
        <v>32</v>
      </c>
      <c r="B14" s="26"/>
      <c r="C14" s="32">
        <v>16</v>
      </c>
      <c r="D14" s="32">
        <v>16</v>
      </c>
      <c r="E14" s="32">
        <v>16</v>
      </c>
      <c r="F14" s="26"/>
      <c r="G14" s="32">
        <v>8</v>
      </c>
      <c r="H14" s="32">
        <v>7</v>
      </c>
      <c r="I14" s="32">
        <v>7</v>
      </c>
      <c r="J14" s="33">
        <v>22</v>
      </c>
      <c r="K14" s="26"/>
    </row>
    <row r="15" spans="1:11" ht="19.899999999999999" customHeight="1" thickBot="1" x14ac:dyDescent="0.5">
      <c r="A15" s="25" t="s">
        <v>20</v>
      </c>
      <c r="B15" s="26"/>
      <c r="C15" s="26"/>
      <c r="D15" s="26"/>
      <c r="E15" s="26"/>
      <c r="F15" s="26"/>
      <c r="G15" s="26"/>
      <c r="H15" s="26"/>
      <c r="I15" s="26"/>
      <c r="J15" s="27"/>
      <c r="K15" s="26"/>
    </row>
    <row r="16" spans="1:11" ht="19.899999999999999" customHeight="1" thickBot="1" x14ac:dyDescent="0.5">
      <c r="A16" s="31" t="s">
        <v>39</v>
      </c>
      <c r="B16" s="32">
        <v>9</v>
      </c>
      <c r="C16" s="32">
        <v>4</v>
      </c>
      <c r="D16" s="32">
        <v>2</v>
      </c>
      <c r="E16" s="32">
        <v>3</v>
      </c>
      <c r="F16" s="33">
        <v>9</v>
      </c>
      <c r="G16" s="32">
        <v>1</v>
      </c>
      <c r="H16" s="32">
        <v>1</v>
      </c>
      <c r="I16" s="26"/>
      <c r="J16" s="33">
        <v>2</v>
      </c>
      <c r="K16" s="33">
        <v>11</v>
      </c>
    </row>
    <row r="17" spans="1:11" ht="19.899999999999999" customHeight="1" thickBot="1" x14ac:dyDescent="0.5">
      <c r="A17" s="28" t="s">
        <v>40</v>
      </c>
      <c r="B17" s="29">
        <v>10</v>
      </c>
      <c r="C17" s="29">
        <v>4</v>
      </c>
      <c r="D17" s="29">
        <v>3</v>
      </c>
      <c r="E17" s="30">
        <v>2</v>
      </c>
      <c r="F17" s="30">
        <v>9</v>
      </c>
      <c r="G17" s="29">
        <v>2</v>
      </c>
      <c r="H17" s="30">
        <v>3</v>
      </c>
      <c r="I17" s="30">
        <v>3</v>
      </c>
      <c r="J17" s="30">
        <v>8</v>
      </c>
      <c r="K17" s="30">
        <v>17</v>
      </c>
    </row>
    <row r="18" spans="1:11" ht="19.899999999999999" customHeight="1" thickBot="1" x14ac:dyDescent="0.5">
      <c r="A18" s="31" t="s">
        <v>41</v>
      </c>
      <c r="B18" s="32">
        <v>11</v>
      </c>
      <c r="C18" s="26"/>
      <c r="D18" s="32">
        <v>3</v>
      </c>
      <c r="E18" s="32">
        <v>2</v>
      </c>
      <c r="F18" s="33">
        <v>5</v>
      </c>
      <c r="G18" s="26"/>
      <c r="H18" s="26"/>
      <c r="I18" s="26"/>
      <c r="J18" s="33">
        <v>0</v>
      </c>
      <c r="K18" s="33">
        <v>5</v>
      </c>
    </row>
    <row r="19" spans="1:11" ht="19.899999999999999" customHeight="1" thickBot="1" x14ac:dyDescent="0.5">
      <c r="A19" s="31" t="s">
        <v>42</v>
      </c>
      <c r="B19" s="32">
        <v>12</v>
      </c>
      <c r="C19" s="32">
        <v>2</v>
      </c>
      <c r="D19" s="32">
        <v>3</v>
      </c>
      <c r="E19" s="32">
        <v>2</v>
      </c>
      <c r="F19" s="33">
        <v>7</v>
      </c>
      <c r="G19" s="26"/>
      <c r="H19" s="26"/>
      <c r="I19" s="26"/>
      <c r="J19" s="33">
        <v>0</v>
      </c>
      <c r="K19" s="33">
        <v>7</v>
      </c>
    </row>
    <row r="20" spans="1:11" ht="19.899999999999999" customHeight="1" thickBot="1" x14ac:dyDescent="0.5">
      <c r="A20" s="28" t="s">
        <v>43</v>
      </c>
      <c r="B20" s="29">
        <v>13</v>
      </c>
      <c r="C20" s="29">
        <v>6</v>
      </c>
      <c r="D20" s="29">
        <v>3</v>
      </c>
      <c r="E20" s="30">
        <v>7</v>
      </c>
      <c r="F20" s="30">
        <v>16</v>
      </c>
      <c r="G20" s="29">
        <v>4</v>
      </c>
      <c r="H20" s="30">
        <v>4</v>
      </c>
      <c r="I20" s="30">
        <v>4</v>
      </c>
      <c r="J20" s="30">
        <v>12</v>
      </c>
      <c r="K20" s="30">
        <v>28</v>
      </c>
    </row>
    <row r="21" spans="1:11" ht="19.899999999999999" customHeight="1" thickBot="1" x14ac:dyDescent="0.5">
      <c r="A21" s="36" t="s">
        <v>44</v>
      </c>
      <c r="B21" s="26"/>
      <c r="C21" s="32">
        <v>16</v>
      </c>
      <c r="D21" s="32">
        <v>14</v>
      </c>
      <c r="E21" s="32">
        <v>16</v>
      </c>
      <c r="F21" s="26"/>
      <c r="G21" s="32">
        <v>7</v>
      </c>
      <c r="H21" s="32">
        <v>8</v>
      </c>
      <c r="I21" s="32">
        <v>7</v>
      </c>
      <c r="J21" s="33">
        <v>22</v>
      </c>
      <c r="K21" s="26"/>
    </row>
    <row r="28" spans="1:11" ht="14.65" thickBot="1" x14ac:dyDescent="0.5"/>
    <row r="29" spans="1:11" ht="15.4" thickBot="1" x14ac:dyDescent="0.5">
      <c r="A29" s="20"/>
      <c r="B29" s="21"/>
      <c r="C29" s="202" t="s">
        <v>22</v>
      </c>
      <c r="D29" s="203"/>
      <c r="E29" s="203"/>
      <c r="F29" s="204"/>
      <c r="G29" s="205" t="s">
        <v>23</v>
      </c>
      <c r="H29" s="206"/>
      <c r="I29" s="206"/>
      <c r="J29" s="207"/>
      <c r="K29" s="22"/>
    </row>
    <row r="30" spans="1:11" ht="94.5" customHeight="1" x14ac:dyDescent="0.45">
      <c r="A30" s="37"/>
      <c r="B30" s="38" t="s">
        <v>24</v>
      </c>
      <c r="C30" s="38" t="s">
        <v>25</v>
      </c>
      <c r="D30" s="38" t="s">
        <v>26</v>
      </c>
      <c r="E30" s="38" t="s">
        <v>27</v>
      </c>
      <c r="F30" s="38" t="s">
        <v>5</v>
      </c>
      <c r="G30" s="38" t="s">
        <v>25</v>
      </c>
      <c r="H30" s="38" t="s">
        <v>26</v>
      </c>
      <c r="I30" s="38" t="s">
        <v>27</v>
      </c>
      <c r="J30" s="38" t="s">
        <v>5</v>
      </c>
      <c r="K30" s="39" t="s">
        <v>28</v>
      </c>
    </row>
    <row r="31" spans="1:11" ht="14.65" thickBot="1" x14ac:dyDescent="0.5">
      <c r="A31" s="40" t="s">
        <v>45</v>
      </c>
      <c r="B31" s="41"/>
      <c r="C31" s="41"/>
      <c r="D31" s="41"/>
      <c r="E31" s="41"/>
      <c r="F31" s="41"/>
      <c r="G31" s="41"/>
      <c r="H31" s="41"/>
      <c r="I31" s="41"/>
      <c r="J31" s="42"/>
      <c r="K31" s="41"/>
    </row>
    <row r="32" spans="1:11" ht="14.65" thickBot="1" x14ac:dyDescent="0.5">
      <c r="A32" s="43" t="s">
        <v>46</v>
      </c>
      <c r="B32" s="44">
        <v>14</v>
      </c>
      <c r="C32" s="44">
        <v>4</v>
      </c>
      <c r="D32" s="44">
        <v>7</v>
      </c>
      <c r="E32" s="45">
        <v>6</v>
      </c>
      <c r="F32" s="45">
        <v>17</v>
      </c>
      <c r="G32" s="44">
        <v>4</v>
      </c>
      <c r="H32" s="45">
        <v>4</v>
      </c>
      <c r="I32" s="45">
        <v>4</v>
      </c>
      <c r="J32" s="45">
        <v>12</v>
      </c>
      <c r="K32" s="45">
        <v>29</v>
      </c>
    </row>
    <row r="33" spans="1:11" ht="26.65" thickBot="1" x14ac:dyDescent="0.5">
      <c r="A33" s="46" t="s">
        <v>47</v>
      </c>
      <c r="B33" s="47">
        <v>15</v>
      </c>
      <c r="C33" s="47">
        <v>5</v>
      </c>
      <c r="D33" s="47">
        <v>6</v>
      </c>
      <c r="E33" s="47">
        <v>6</v>
      </c>
      <c r="F33" s="9">
        <v>17</v>
      </c>
      <c r="G33" s="47">
        <v>0</v>
      </c>
      <c r="H33" s="47">
        <v>1</v>
      </c>
      <c r="I33" s="47">
        <v>1</v>
      </c>
      <c r="J33" s="9">
        <v>2</v>
      </c>
      <c r="K33" s="9">
        <v>19</v>
      </c>
    </row>
    <row r="34" spans="1:11" ht="14.65" thickBot="1" x14ac:dyDescent="0.5">
      <c r="A34" s="43" t="s">
        <v>48</v>
      </c>
      <c r="B34" s="44">
        <v>16</v>
      </c>
      <c r="C34" s="44">
        <v>7</v>
      </c>
      <c r="D34" s="44">
        <v>3</v>
      </c>
      <c r="E34" s="45">
        <v>4</v>
      </c>
      <c r="F34" s="45">
        <v>14</v>
      </c>
      <c r="G34" s="44">
        <v>3</v>
      </c>
      <c r="H34" s="45">
        <v>2</v>
      </c>
      <c r="I34" s="45">
        <v>2</v>
      </c>
      <c r="J34" s="45">
        <v>7</v>
      </c>
      <c r="K34" s="45">
        <v>21</v>
      </c>
    </row>
    <row r="35" spans="1:11" ht="14.65" thickBot="1" x14ac:dyDescent="0.5">
      <c r="A35" s="48" t="s">
        <v>49</v>
      </c>
      <c r="B35" s="41"/>
      <c r="C35" s="47">
        <v>16</v>
      </c>
      <c r="D35" s="47">
        <v>16</v>
      </c>
      <c r="E35" s="47">
        <v>16</v>
      </c>
      <c r="F35" s="41"/>
      <c r="G35" s="47">
        <v>7</v>
      </c>
      <c r="H35" s="47">
        <v>7</v>
      </c>
      <c r="I35" s="47">
        <v>7</v>
      </c>
      <c r="J35" s="9">
        <v>21</v>
      </c>
      <c r="K35" s="41"/>
    </row>
    <row r="36" spans="1:11" ht="14.65" thickBot="1" x14ac:dyDescent="0.5">
      <c r="A36" s="40" t="s">
        <v>21</v>
      </c>
      <c r="B36" s="41"/>
      <c r="C36" s="41"/>
      <c r="D36" s="41"/>
      <c r="E36" s="41"/>
      <c r="F36" s="41"/>
      <c r="G36" s="41"/>
      <c r="H36" s="41"/>
      <c r="I36" s="41"/>
      <c r="J36" s="42"/>
      <c r="K36" s="41"/>
    </row>
    <row r="37" spans="1:11" ht="14.65" thickBot="1" x14ac:dyDescent="0.5">
      <c r="A37" s="46" t="s">
        <v>50</v>
      </c>
      <c r="B37" s="47">
        <v>17</v>
      </c>
      <c r="C37" s="41"/>
      <c r="D37" s="47">
        <v>1</v>
      </c>
      <c r="E37" s="47">
        <v>5</v>
      </c>
      <c r="F37" s="9">
        <v>6</v>
      </c>
      <c r="G37" s="47">
        <v>1</v>
      </c>
      <c r="H37" s="47">
        <v>1</v>
      </c>
      <c r="I37" s="47">
        <v>1</v>
      </c>
      <c r="J37" s="9">
        <v>3</v>
      </c>
      <c r="K37" s="9">
        <v>9</v>
      </c>
    </row>
    <row r="38" spans="1:11" ht="14.65" thickBot="1" x14ac:dyDescent="0.5">
      <c r="A38" s="46" t="s">
        <v>51</v>
      </c>
      <c r="B38" s="47">
        <v>18</v>
      </c>
      <c r="C38" s="47">
        <v>1</v>
      </c>
      <c r="D38" s="41"/>
      <c r="E38" s="47">
        <v>4</v>
      </c>
      <c r="F38" s="9">
        <v>5</v>
      </c>
      <c r="G38" s="47">
        <v>1</v>
      </c>
      <c r="H38" s="41"/>
      <c r="I38" s="47">
        <v>1</v>
      </c>
      <c r="J38" s="9">
        <v>2</v>
      </c>
      <c r="K38" s="9">
        <v>7</v>
      </c>
    </row>
    <row r="39" spans="1:11" ht="14.65" thickBot="1" x14ac:dyDescent="0.5">
      <c r="A39" s="46" t="s">
        <v>52</v>
      </c>
      <c r="B39" s="47">
        <v>19</v>
      </c>
      <c r="C39" s="47">
        <v>4</v>
      </c>
      <c r="D39" s="47">
        <v>6</v>
      </c>
      <c r="E39" s="47">
        <v>2</v>
      </c>
      <c r="F39" s="9">
        <v>12</v>
      </c>
      <c r="G39" s="41"/>
      <c r="H39" s="41"/>
      <c r="I39" s="41"/>
      <c r="J39" s="9">
        <v>0</v>
      </c>
      <c r="K39" s="9">
        <v>12</v>
      </c>
    </row>
    <row r="40" spans="1:11" ht="14.65" thickBot="1" x14ac:dyDescent="0.5">
      <c r="A40" s="43" t="s">
        <v>53</v>
      </c>
      <c r="B40" s="44">
        <v>20</v>
      </c>
      <c r="C40" s="44">
        <v>7</v>
      </c>
      <c r="D40" s="44">
        <v>3</v>
      </c>
      <c r="E40" s="45">
        <v>3</v>
      </c>
      <c r="F40" s="45">
        <v>13</v>
      </c>
      <c r="G40" s="44">
        <v>2</v>
      </c>
      <c r="H40" s="45">
        <v>2</v>
      </c>
      <c r="I40" s="45">
        <v>1</v>
      </c>
      <c r="J40" s="45">
        <v>5</v>
      </c>
      <c r="K40" s="45">
        <v>18</v>
      </c>
    </row>
    <row r="41" spans="1:11" ht="26.65" thickBot="1" x14ac:dyDescent="0.5">
      <c r="A41" s="46" t="s">
        <v>54</v>
      </c>
      <c r="B41" s="47">
        <v>21</v>
      </c>
      <c r="C41" s="47">
        <v>4</v>
      </c>
      <c r="D41" s="47">
        <v>6</v>
      </c>
      <c r="E41" s="47">
        <v>2</v>
      </c>
      <c r="F41" s="9">
        <v>12</v>
      </c>
      <c r="G41" s="41"/>
      <c r="H41" s="47">
        <v>2</v>
      </c>
      <c r="I41" s="47">
        <v>1</v>
      </c>
      <c r="J41" s="9">
        <v>3</v>
      </c>
      <c r="K41" s="9">
        <v>15</v>
      </c>
    </row>
    <row r="42" spans="1:11" ht="14.65" thickBot="1" x14ac:dyDescent="0.5">
      <c r="A42" s="49" t="s">
        <v>44</v>
      </c>
      <c r="B42" s="41"/>
      <c r="C42" s="47">
        <v>16</v>
      </c>
      <c r="D42" s="47">
        <v>16</v>
      </c>
      <c r="E42" s="47">
        <v>16</v>
      </c>
      <c r="F42" s="41"/>
      <c r="G42" s="47">
        <v>3</v>
      </c>
      <c r="H42" s="47">
        <v>5</v>
      </c>
      <c r="I42" s="47">
        <v>4</v>
      </c>
      <c r="J42" s="9">
        <v>12</v>
      </c>
      <c r="K42" s="41"/>
    </row>
    <row r="43" spans="1:11" ht="14.65" thickBot="1" x14ac:dyDescent="0.5">
      <c r="A43" s="40" t="s">
        <v>55</v>
      </c>
      <c r="B43" s="41"/>
      <c r="C43" s="41"/>
      <c r="D43" s="41"/>
      <c r="E43" s="41"/>
      <c r="F43" s="41"/>
      <c r="G43" s="41"/>
      <c r="H43" s="41"/>
      <c r="I43" s="41"/>
      <c r="J43" s="42"/>
      <c r="K43" s="41"/>
    </row>
    <row r="44" spans="1:11" ht="14.65" thickBot="1" x14ac:dyDescent="0.5">
      <c r="A44" s="43" t="s">
        <v>56</v>
      </c>
      <c r="B44" s="44">
        <v>22</v>
      </c>
      <c r="C44" s="44">
        <v>4</v>
      </c>
      <c r="D44" s="44">
        <v>4</v>
      </c>
      <c r="E44" s="45">
        <v>3</v>
      </c>
      <c r="F44" s="45">
        <v>11</v>
      </c>
      <c r="G44" s="44">
        <v>1</v>
      </c>
      <c r="H44" s="45">
        <v>2</v>
      </c>
      <c r="I44" s="45">
        <v>3</v>
      </c>
      <c r="J44" s="45">
        <v>6</v>
      </c>
      <c r="K44" s="45">
        <v>17</v>
      </c>
    </row>
    <row r="45" spans="1:11" ht="14.65" thickBot="1" x14ac:dyDescent="0.5">
      <c r="A45" s="46" t="s">
        <v>57</v>
      </c>
      <c r="B45" s="47">
        <v>23</v>
      </c>
      <c r="C45" s="47">
        <v>2</v>
      </c>
      <c r="D45" s="41"/>
      <c r="E45" s="41"/>
      <c r="F45" s="9">
        <v>2</v>
      </c>
      <c r="G45" s="41"/>
      <c r="H45" s="41"/>
      <c r="I45" s="41"/>
      <c r="J45" s="9">
        <v>0</v>
      </c>
      <c r="K45" s="9">
        <v>2</v>
      </c>
    </row>
    <row r="46" spans="1:11" ht="14.65" thickBot="1" x14ac:dyDescent="0.5">
      <c r="A46" s="43" t="s">
        <v>58</v>
      </c>
      <c r="B46" s="44">
        <v>24</v>
      </c>
      <c r="C46" s="44">
        <v>4</v>
      </c>
      <c r="D46" s="44">
        <v>6</v>
      </c>
      <c r="E46" s="45">
        <v>6</v>
      </c>
      <c r="F46" s="45">
        <v>16</v>
      </c>
      <c r="G46" s="44">
        <v>3</v>
      </c>
      <c r="H46" s="50"/>
      <c r="I46" s="45">
        <v>1</v>
      </c>
      <c r="J46" s="45">
        <v>4</v>
      </c>
      <c r="K46" s="45">
        <v>20</v>
      </c>
    </row>
    <row r="47" spans="1:11" ht="26.65" thickBot="1" x14ac:dyDescent="0.5">
      <c r="A47" s="46" t="s">
        <v>59</v>
      </c>
      <c r="B47" s="47">
        <v>25</v>
      </c>
      <c r="C47" s="47">
        <v>0</v>
      </c>
      <c r="D47" s="47">
        <v>5</v>
      </c>
      <c r="E47" s="47">
        <v>5</v>
      </c>
      <c r="F47" s="9">
        <v>10</v>
      </c>
      <c r="G47" s="47">
        <v>1</v>
      </c>
      <c r="H47" s="41"/>
      <c r="I47" s="47">
        <v>2</v>
      </c>
      <c r="J47" s="9">
        <v>3</v>
      </c>
      <c r="K47" s="9">
        <v>13</v>
      </c>
    </row>
    <row r="48" spans="1:11" ht="14.65" thickBot="1" x14ac:dyDescent="0.5">
      <c r="A48" s="46" t="s">
        <v>60</v>
      </c>
      <c r="B48" s="47">
        <v>26</v>
      </c>
      <c r="C48" s="47">
        <v>6</v>
      </c>
      <c r="D48" s="47">
        <v>1</v>
      </c>
      <c r="E48" s="47">
        <v>2</v>
      </c>
      <c r="F48" s="9">
        <v>9</v>
      </c>
      <c r="G48" s="47">
        <v>2</v>
      </c>
      <c r="H48" s="41"/>
      <c r="I48" s="47">
        <v>2</v>
      </c>
      <c r="J48" s="9">
        <v>4</v>
      </c>
      <c r="K48" s="9">
        <v>13</v>
      </c>
    </row>
    <row r="49" spans="1:11" ht="14.65" thickBot="1" x14ac:dyDescent="0.5">
      <c r="A49" s="49" t="s">
        <v>44</v>
      </c>
      <c r="B49" s="41"/>
      <c r="C49" s="47">
        <v>16</v>
      </c>
      <c r="D49" s="47">
        <v>16</v>
      </c>
      <c r="E49" s="47">
        <v>16</v>
      </c>
      <c r="F49" s="41"/>
      <c r="G49" s="47">
        <v>7</v>
      </c>
      <c r="H49" s="47">
        <v>2</v>
      </c>
      <c r="I49" s="47">
        <v>8</v>
      </c>
      <c r="J49" s="9">
        <v>17</v>
      </c>
      <c r="K49" s="41"/>
    </row>
  </sheetData>
  <mergeCells count="4">
    <mergeCell ref="C1:F1"/>
    <mergeCell ref="G1:J1"/>
    <mergeCell ref="C29:F29"/>
    <mergeCell ref="G29:J2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229F8-E8EB-4A0A-86BA-4951EE370BA8}">
  <dimension ref="A2:R72"/>
  <sheetViews>
    <sheetView topLeftCell="A22" workbookViewId="0">
      <selection activeCell="K22" sqref="K22:R24"/>
    </sheetView>
  </sheetViews>
  <sheetFormatPr defaultRowHeight="14.25" x14ac:dyDescent="0.45"/>
  <cols>
    <col min="3" max="3" width="24.1328125" bestFit="1" customWidth="1"/>
    <col min="4" max="4" width="14.73046875" customWidth="1"/>
    <col min="5" max="9" width="9.86328125" bestFit="1" customWidth="1"/>
    <col min="10" max="10" width="18" bestFit="1" customWidth="1"/>
    <col min="13" max="13" width="24.9296875" customWidth="1"/>
  </cols>
  <sheetData>
    <row r="2" spans="3:16" x14ac:dyDescent="0.45">
      <c r="J2" s="15"/>
      <c r="K2" s="15"/>
      <c r="L2" s="12"/>
      <c r="M2" s="12"/>
      <c r="N2" s="12"/>
      <c r="O2" s="12"/>
      <c r="P2" s="12"/>
    </row>
    <row r="3" spans="3:16" x14ac:dyDescent="0.45">
      <c r="C3" t="s">
        <v>4</v>
      </c>
      <c r="D3" t="s">
        <v>3</v>
      </c>
      <c r="E3" s="5">
        <v>2016</v>
      </c>
      <c r="F3" s="5">
        <v>2017</v>
      </c>
      <c r="G3" s="5">
        <v>2018</v>
      </c>
      <c r="H3" s="5">
        <v>2019</v>
      </c>
      <c r="I3" s="5">
        <v>2020</v>
      </c>
      <c r="J3" s="11"/>
      <c r="K3" s="11"/>
      <c r="L3" s="13"/>
      <c r="M3" s="13"/>
      <c r="N3" s="13"/>
      <c r="O3" s="13"/>
      <c r="P3" s="13"/>
    </row>
    <row r="4" spans="3:16" x14ac:dyDescent="0.45">
      <c r="C4" t="s">
        <v>2</v>
      </c>
      <c r="D4" t="s">
        <v>0</v>
      </c>
      <c r="E4" s="1">
        <v>17642</v>
      </c>
      <c r="F4" s="1">
        <v>19284</v>
      </c>
      <c r="G4" s="1">
        <v>18431</v>
      </c>
      <c r="H4" s="1">
        <v>18030</v>
      </c>
      <c r="I4" s="1">
        <v>18347</v>
      </c>
      <c r="J4" s="11"/>
      <c r="K4" s="11"/>
      <c r="L4" s="13"/>
      <c r="M4" s="13"/>
      <c r="N4" s="13"/>
      <c r="O4" s="13"/>
      <c r="P4" s="13"/>
    </row>
    <row r="5" spans="3:16" x14ac:dyDescent="0.45">
      <c r="C5" t="s">
        <v>6</v>
      </c>
      <c r="D5" t="s">
        <v>0</v>
      </c>
      <c r="E5" s="1">
        <v>139</v>
      </c>
      <c r="F5" s="1">
        <v>114</v>
      </c>
      <c r="G5" s="1">
        <v>135</v>
      </c>
      <c r="H5" s="1">
        <v>137</v>
      </c>
      <c r="I5" s="1">
        <v>72</v>
      </c>
      <c r="J5" s="11"/>
      <c r="K5" s="11"/>
      <c r="L5" s="13"/>
      <c r="M5" s="13"/>
      <c r="N5" s="13"/>
      <c r="O5" s="13"/>
      <c r="P5" s="13"/>
    </row>
    <row r="6" spans="3:16" x14ac:dyDescent="0.45">
      <c r="C6" t="s">
        <v>7</v>
      </c>
      <c r="D6" t="s">
        <v>0</v>
      </c>
      <c r="E6" s="1">
        <v>1771</v>
      </c>
      <c r="F6" s="1">
        <v>2988</v>
      </c>
      <c r="G6" s="1">
        <v>2376</v>
      </c>
      <c r="H6" s="1">
        <v>2090</v>
      </c>
      <c r="I6" s="1">
        <v>678</v>
      </c>
      <c r="J6" s="11"/>
      <c r="K6" s="11"/>
      <c r="L6" s="14"/>
      <c r="M6" s="14"/>
      <c r="N6" s="14"/>
      <c r="O6" s="14"/>
      <c r="P6" s="14"/>
    </row>
    <row r="7" spans="3:16" x14ac:dyDescent="0.45">
      <c r="C7" t="s">
        <v>5</v>
      </c>
      <c r="D7" t="s">
        <v>0</v>
      </c>
      <c r="E7" s="1">
        <f>SUM(E3:E6)</f>
        <v>21568</v>
      </c>
      <c r="F7" s="1">
        <f>SUM(F3:F6)</f>
        <v>24403</v>
      </c>
      <c r="G7" s="1">
        <f>SUM(G3:G6)</f>
        <v>22960</v>
      </c>
      <c r="H7" s="1">
        <f>SUM(H3:H6)</f>
        <v>22276</v>
      </c>
      <c r="I7" s="1">
        <f>SUM(I3:I6)</f>
        <v>21117</v>
      </c>
      <c r="J7" s="11"/>
      <c r="K7" s="11"/>
      <c r="L7" s="14"/>
      <c r="M7" s="14"/>
      <c r="N7" s="14"/>
      <c r="O7" s="14"/>
      <c r="P7" s="14"/>
    </row>
    <row r="8" spans="3:16" x14ac:dyDescent="0.45">
      <c r="E8" s="3"/>
      <c r="F8" s="3"/>
      <c r="G8" s="3"/>
      <c r="H8" s="3"/>
      <c r="I8" s="3"/>
      <c r="J8" s="11"/>
      <c r="K8" s="11"/>
      <c r="L8" s="14"/>
      <c r="M8" s="14"/>
      <c r="N8" s="14"/>
      <c r="O8" s="14"/>
      <c r="P8" s="14"/>
    </row>
    <row r="9" spans="3:16" x14ac:dyDescent="0.45">
      <c r="C9" t="s">
        <v>4</v>
      </c>
      <c r="D9" t="s">
        <v>3</v>
      </c>
      <c r="E9" s="5">
        <v>2016</v>
      </c>
      <c r="F9" s="5">
        <v>2017</v>
      </c>
      <c r="G9" s="5">
        <v>2018</v>
      </c>
      <c r="H9" s="5">
        <v>2019</v>
      </c>
      <c r="I9" s="5">
        <v>2020</v>
      </c>
    </row>
    <row r="10" spans="3:16" x14ac:dyDescent="0.45">
      <c r="C10" t="s">
        <v>2</v>
      </c>
      <c r="D10" t="s">
        <v>1</v>
      </c>
      <c r="E10" s="4">
        <v>9317</v>
      </c>
      <c r="F10" s="4">
        <v>10169</v>
      </c>
      <c r="G10" s="4">
        <v>9467</v>
      </c>
      <c r="H10" s="4">
        <v>9271</v>
      </c>
      <c r="I10" s="4">
        <v>11373</v>
      </c>
    </row>
    <row r="11" spans="3:16" x14ac:dyDescent="0.45">
      <c r="C11" t="s">
        <v>6</v>
      </c>
      <c r="D11" t="s">
        <v>1</v>
      </c>
      <c r="E11" s="4">
        <v>81</v>
      </c>
      <c r="F11" s="4">
        <v>54</v>
      </c>
      <c r="G11" s="4">
        <v>90</v>
      </c>
      <c r="H11" s="4">
        <v>78</v>
      </c>
      <c r="I11" s="4">
        <v>33</v>
      </c>
    </row>
    <row r="12" spans="3:16" x14ac:dyDescent="0.45">
      <c r="C12" t="s">
        <v>7</v>
      </c>
      <c r="D12" t="s">
        <v>1</v>
      </c>
      <c r="E12" s="4">
        <v>613</v>
      </c>
      <c r="F12" s="4">
        <v>1433</v>
      </c>
      <c r="G12" s="4">
        <v>1090</v>
      </c>
      <c r="H12" s="4">
        <v>866</v>
      </c>
      <c r="I12" s="4">
        <v>357</v>
      </c>
    </row>
    <row r="13" spans="3:16" x14ac:dyDescent="0.45">
      <c r="C13" t="s">
        <v>5</v>
      </c>
      <c r="D13" t="s">
        <v>1</v>
      </c>
      <c r="E13" s="4">
        <f>SUM(E10:E12)</f>
        <v>10011</v>
      </c>
      <c r="F13" s="4">
        <f>SUM(F10:F12)</f>
        <v>11656</v>
      </c>
      <c r="G13" s="4">
        <f>SUM(G10:G12)</f>
        <v>10647</v>
      </c>
      <c r="H13" s="4">
        <f>SUM(H10:H12)</f>
        <v>10215</v>
      </c>
      <c r="I13" s="4">
        <f>SUM(I10:I12)</f>
        <v>11763</v>
      </c>
    </row>
    <row r="14" spans="3:16" x14ac:dyDescent="0.45">
      <c r="E14" s="4"/>
      <c r="F14" s="4"/>
      <c r="G14" s="4"/>
      <c r="H14" s="4"/>
      <c r="I14" s="4"/>
    </row>
    <row r="15" spans="3:16" x14ac:dyDescent="0.45">
      <c r="E15" s="5">
        <v>2016</v>
      </c>
      <c r="F15" s="5">
        <v>2017</v>
      </c>
      <c r="G15" s="5">
        <v>2018</v>
      </c>
      <c r="H15" s="5">
        <v>2019</v>
      </c>
      <c r="I15" s="5">
        <v>2020</v>
      </c>
    </row>
    <row r="16" spans="3:16" x14ac:dyDescent="0.45">
      <c r="C16" t="s">
        <v>1</v>
      </c>
      <c r="D16" s="1"/>
      <c r="E16" s="1">
        <f>E13</f>
        <v>10011</v>
      </c>
      <c r="F16" s="1">
        <f t="shared" ref="F16:I16" si="0">F13</f>
        <v>11656</v>
      </c>
      <c r="G16" s="1">
        <f t="shared" si="0"/>
        <v>10647</v>
      </c>
      <c r="H16" s="1">
        <f t="shared" si="0"/>
        <v>10215</v>
      </c>
      <c r="I16" s="1">
        <f t="shared" si="0"/>
        <v>11763</v>
      </c>
    </row>
    <row r="17" spans="1:18" x14ac:dyDescent="0.45">
      <c r="B17" s="2"/>
      <c r="C17" t="s">
        <v>13</v>
      </c>
      <c r="D17" s="1"/>
      <c r="E17" s="1">
        <v>78583</v>
      </c>
      <c r="F17" s="1">
        <v>77904</v>
      </c>
      <c r="G17" s="1">
        <v>78583</v>
      </c>
      <c r="H17" s="1">
        <v>78583</v>
      </c>
      <c r="I17" s="1">
        <v>78583</v>
      </c>
    </row>
    <row r="18" spans="1:18" x14ac:dyDescent="0.45">
      <c r="B18" s="2"/>
      <c r="D18" s="1"/>
      <c r="E18" s="10">
        <f>E16/E17</f>
        <v>0.12739396561597291</v>
      </c>
      <c r="F18" s="10">
        <f t="shared" ref="F18:I18" si="1">F16/F17</f>
        <v>0.14962004518381597</v>
      </c>
      <c r="G18" s="10">
        <f t="shared" si="1"/>
        <v>0.13548731914027207</v>
      </c>
      <c r="H18" s="10">
        <f t="shared" si="1"/>
        <v>0.12998994693508775</v>
      </c>
      <c r="I18" s="10">
        <f t="shared" si="1"/>
        <v>0.14968886400366491</v>
      </c>
    </row>
    <row r="19" spans="1:18" x14ac:dyDescent="0.45">
      <c r="B19" s="2"/>
      <c r="D19" s="1"/>
      <c r="E19" s="1"/>
      <c r="F19" s="1"/>
      <c r="G19" s="1"/>
    </row>
    <row r="20" spans="1:18" x14ac:dyDescent="0.45">
      <c r="B20" s="2"/>
      <c r="E20" s="5">
        <v>2016</v>
      </c>
      <c r="F20" s="5">
        <v>2017</v>
      </c>
      <c r="G20" s="5">
        <v>2018</v>
      </c>
      <c r="H20" s="5">
        <v>2019</v>
      </c>
      <c r="I20" s="5">
        <v>2020</v>
      </c>
    </row>
    <row r="21" spans="1:18" x14ac:dyDescent="0.45">
      <c r="B21" s="2"/>
      <c r="D21" t="s">
        <v>632</v>
      </c>
      <c r="E21" s="1">
        <f>E7</f>
        <v>21568</v>
      </c>
      <c r="F21" s="1">
        <f>F7</f>
        <v>24403</v>
      </c>
      <c r="G21" s="1">
        <f>G7</f>
        <v>22960</v>
      </c>
      <c r="H21" s="1">
        <f>H7</f>
        <v>22276</v>
      </c>
      <c r="I21" s="1">
        <f>I7</f>
        <v>21117</v>
      </c>
    </row>
    <row r="22" spans="1:18" x14ac:dyDescent="0.45">
      <c r="D22" t="s">
        <v>633</v>
      </c>
      <c r="E22" s="1">
        <v>252521</v>
      </c>
      <c r="F22" s="1">
        <v>252849</v>
      </c>
      <c r="G22" s="1">
        <v>256192</v>
      </c>
      <c r="H22" s="1">
        <v>226793</v>
      </c>
      <c r="I22" s="1">
        <v>226790</v>
      </c>
      <c r="K22" s="208" t="s">
        <v>549</v>
      </c>
      <c r="L22" s="208"/>
      <c r="M22" s="208"/>
      <c r="N22" s="208"/>
      <c r="O22" s="208"/>
      <c r="P22" s="208"/>
      <c r="Q22" s="208"/>
      <c r="R22" s="208"/>
    </row>
    <row r="23" spans="1:18" x14ac:dyDescent="0.45">
      <c r="D23" t="s">
        <v>14</v>
      </c>
      <c r="E23" s="10">
        <f>E21/E22</f>
        <v>8.5410718316496451E-2</v>
      </c>
      <c r="F23" s="10">
        <f>F21/F22</f>
        <v>9.6512147566334056E-2</v>
      </c>
      <c r="G23" s="10">
        <f>G21/G22</f>
        <v>8.9620284786410195E-2</v>
      </c>
      <c r="H23" s="10">
        <f>H21/H22</f>
        <v>9.8221726420127609E-2</v>
      </c>
      <c r="I23" s="10">
        <f>I21/I22</f>
        <v>9.311257110101856E-2</v>
      </c>
      <c r="K23" s="208"/>
      <c r="L23" s="208"/>
      <c r="M23" s="208"/>
      <c r="N23" s="208"/>
      <c r="O23" s="208"/>
      <c r="P23" s="208"/>
      <c r="Q23" s="208"/>
      <c r="R23" s="208"/>
    </row>
    <row r="24" spans="1:18" x14ac:dyDescent="0.45">
      <c r="D24" t="s">
        <v>435</v>
      </c>
      <c r="E24" s="16">
        <f>E18</f>
        <v>0.12739396561597291</v>
      </c>
      <c r="F24" s="16">
        <f>F18</f>
        <v>0.14962004518381597</v>
      </c>
      <c r="G24" s="16">
        <f>G18</f>
        <v>0.13548731914027207</v>
      </c>
      <c r="H24" s="16">
        <f>H18</f>
        <v>0.12998994693508775</v>
      </c>
      <c r="I24" s="16">
        <f>I18</f>
        <v>0.14968886400366491</v>
      </c>
      <c r="K24" s="208"/>
      <c r="L24" s="208"/>
      <c r="M24" s="208"/>
      <c r="N24" s="208"/>
      <c r="O24" s="208"/>
      <c r="P24" s="208"/>
      <c r="Q24" s="208"/>
      <c r="R24" s="208"/>
    </row>
    <row r="31" spans="1:18" x14ac:dyDescent="0.45">
      <c r="B31" s="5">
        <v>2016</v>
      </c>
      <c r="C31" s="5">
        <v>2017</v>
      </c>
      <c r="D31" s="5">
        <v>2018</v>
      </c>
      <c r="E31" s="5">
        <v>2019</v>
      </c>
      <c r="F31" s="5">
        <v>2020</v>
      </c>
    </row>
    <row r="32" spans="1:18" x14ac:dyDescent="0.45">
      <c r="A32" t="s">
        <v>634</v>
      </c>
      <c r="B32" s="1">
        <f>E5+E6</f>
        <v>1910</v>
      </c>
      <c r="C32" s="1">
        <f>F5+F6</f>
        <v>3102</v>
      </c>
      <c r="D32" s="1">
        <f>G5+G6</f>
        <v>2511</v>
      </c>
      <c r="E32" s="1">
        <f>H5+H6</f>
        <v>2227</v>
      </c>
      <c r="F32" s="1">
        <f>I5+I6</f>
        <v>750</v>
      </c>
    </row>
    <row r="33" spans="1:6" x14ac:dyDescent="0.45">
      <c r="A33" t="s">
        <v>633</v>
      </c>
      <c r="B33" s="1">
        <v>252521</v>
      </c>
      <c r="C33" s="1">
        <v>252849</v>
      </c>
      <c r="D33" s="1">
        <v>256192</v>
      </c>
      <c r="E33" s="1">
        <v>226793</v>
      </c>
      <c r="F33" s="1">
        <v>226790</v>
      </c>
    </row>
    <row r="34" spans="1:6" x14ac:dyDescent="0.45">
      <c r="B34" s="10"/>
      <c r="C34" s="10"/>
      <c r="D34" s="10"/>
      <c r="E34" s="10"/>
      <c r="F34" s="10"/>
    </row>
    <row r="35" spans="1:6" x14ac:dyDescent="0.45">
      <c r="A35" t="s">
        <v>635</v>
      </c>
      <c r="B35" s="85">
        <f>E4</f>
        <v>17642</v>
      </c>
      <c r="C35" s="85">
        <f>F4</f>
        <v>19284</v>
      </c>
      <c r="D35" s="85">
        <f>G4</f>
        <v>18431</v>
      </c>
      <c r="E35" s="85">
        <f>H4</f>
        <v>18030</v>
      </c>
      <c r="F35" s="85">
        <f>I4</f>
        <v>18347</v>
      </c>
    </row>
    <row r="36" spans="1:6" x14ac:dyDescent="0.45">
      <c r="A36" t="s">
        <v>14</v>
      </c>
      <c r="B36" s="85">
        <f>B33</f>
        <v>252521</v>
      </c>
      <c r="C36" s="85">
        <f t="shared" ref="C36:F36" si="2">C33</f>
        <v>252849</v>
      </c>
      <c r="D36" s="85">
        <f t="shared" si="2"/>
        <v>256192</v>
      </c>
      <c r="E36" s="85">
        <f t="shared" si="2"/>
        <v>226793</v>
      </c>
      <c r="F36" s="85">
        <f t="shared" si="2"/>
        <v>226790</v>
      </c>
    </row>
    <row r="38" spans="1:6" x14ac:dyDescent="0.45">
      <c r="A38" t="s">
        <v>636</v>
      </c>
      <c r="B38" s="10">
        <f>B32/B33</f>
        <v>7.5637273731689637E-3</v>
      </c>
      <c r="C38" s="10">
        <f t="shared" ref="C38:F38" si="3">C32/C33</f>
        <v>1.226819168752892E-2</v>
      </c>
      <c r="D38" s="10">
        <f t="shared" si="3"/>
        <v>9.8012428178865848E-3</v>
      </c>
      <c r="E38" s="10">
        <f t="shared" si="3"/>
        <v>9.8195270577134224E-3</v>
      </c>
      <c r="F38" s="10">
        <f t="shared" si="3"/>
        <v>3.3070241192292428E-3</v>
      </c>
    </row>
    <row r="39" spans="1:6" x14ac:dyDescent="0.45">
      <c r="A39" t="s">
        <v>637</v>
      </c>
      <c r="B39" s="10">
        <f>B35/B36</f>
        <v>6.9863496501281083E-2</v>
      </c>
      <c r="C39" s="10">
        <f>C35/C36</f>
        <v>7.6266862831175924E-2</v>
      </c>
      <c r="D39" s="10">
        <f>D35/D36</f>
        <v>7.1942137147139651E-2</v>
      </c>
      <c r="E39" s="10">
        <f>E35/E36</f>
        <v>7.94998081951383E-2</v>
      </c>
      <c r="F39" s="10">
        <f>F35/F36</f>
        <v>8.0898628687331886E-2</v>
      </c>
    </row>
    <row r="40" spans="1:6" x14ac:dyDescent="0.45">
      <c r="A40" t="s">
        <v>638</v>
      </c>
      <c r="B40" s="10">
        <f>(E11+E12)/E17</f>
        <v>8.8314266444396369E-3</v>
      </c>
      <c r="C40" s="10">
        <f>(F11+F12)/F17</f>
        <v>1.9087594988704045E-2</v>
      </c>
      <c r="D40" s="10">
        <f>(G11+G12)/G17</f>
        <v>1.5015970375272006E-2</v>
      </c>
      <c r="E40" s="10">
        <f>(H11+H12)/H17</f>
        <v>1.2012776300217604E-2</v>
      </c>
      <c r="F40" s="10">
        <f>(I11+I12)/I17</f>
        <v>4.9629054630136293E-3</v>
      </c>
    </row>
    <row r="41" spans="1:6" x14ac:dyDescent="0.45">
      <c r="A41" t="s">
        <v>639</v>
      </c>
      <c r="B41" s="10">
        <f>E10/E17</f>
        <v>0.11856253897153328</v>
      </c>
      <c r="C41" s="10">
        <f>F10/F17</f>
        <v>0.13053245019511192</v>
      </c>
      <c r="D41" s="10">
        <f>G10/G17</f>
        <v>0.12047134876500007</v>
      </c>
      <c r="E41" s="10">
        <f>H10/H17</f>
        <v>0.11797717063487013</v>
      </c>
      <c r="F41" s="10">
        <f>I10/I17</f>
        <v>0.14472595854065129</v>
      </c>
    </row>
    <row r="67" spans="3:8" x14ac:dyDescent="0.45">
      <c r="C67" t="s">
        <v>16</v>
      </c>
    </row>
    <row r="68" spans="3:8" ht="28.5" x14ac:dyDescent="0.45">
      <c r="C68" t="s">
        <v>17</v>
      </c>
      <c r="D68" s="18">
        <v>2020</v>
      </c>
      <c r="E68" s="18" t="s">
        <v>15</v>
      </c>
      <c r="F68" s="5"/>
      <c r="G68" s="5"/>
      <c r="H68" s="5"/>
    </row>
    <row r="69" spans="3:8" x14ac:dyDescent="0.45">
      <c r="C69" t="s">
        <v>18</v>
      </c>
      <c r="D69" s="17">
        <v>1.6E-2</v>
      </c>
      <c r="E69" s="17">
        <v>5.8999999999999997E-2</v>
      </c>
      <c r="F69" s="1"/>
      <c r="G69" s="1"/>
      <c r="H69" s="1"/>
    </row>
    <row r="70" spans="3:8" x14ac:dyDescent="0.45">
      <c r="D70" s="17">
        <v>5.6000000000000001E-2</v>
      </c>
      <c r="E70" s="17">
        <v>6.7000000000000004E-2</v>
      </c>
      <c r="F70" s="1"/>
      <c r="G70" s="1"/>
      <c r="H70" s="1"/>
    </row>
    <row r="71" spans="3:8" x14ac:dyDescent="0.45">
      <c r="D71" s="17">
        <v>0.16</v>
      </c>
      <c r="E71" s="17">
        <v>0.192</v>
      </c>
      <c r="F71" s="10"/>
      <c r="G71" s="10"/>
      <c r="H71" s="10"/>
    </row>
    <row r="72" spans="3:8" x14ac:dyDescent="0.45">
      <c r="F72" s="16"/>
      <c r="G72" s="16"/>
      <c r="H72" s="16"/>
    </row>
  </sheetData>
  <mergeCells count="1">
    <mergeCell ref="K22:R24"/>
  </mergeCells>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8332F-2F19-4333-B5DB-61AB33BCFA31}">
  <dimension ref="A1:L130"/>
  <sheetViews>
    <sheetView workbookViewId="0">
      <pane ySplit="4" topLeftCell="A88" activePane="bottomLeft" state="frozen"/>
      <selection pane="bottomLeft" activeCell="E123" sqref="A121:E123"/>
    </sheetView>
  </sheetViews>
  <sheetFormatPr defaultColWidth="24.265625" defaultRowHeight="12.75" x14ac:dyDescent="0.35"/>
  <cols>
    <col min="1" max="1" width="41.86328125" style="106" bestFit="1" customWidth="1"/>
    <col min="2" max="2" width="27" style="107" bestFit="1" customWidth="1"/>
    <col min="3" max="4" width="24.265625" style="107"/>
    <col min="5" max="5" width="27.3984375" style="107" bestFit="1" customWidth="1"/>
    <col min="6" max="6" width="34" style="107" bestFit="1" customWidth="1"/>
    <col min="7" max="16384" width="24.265625" style="107"/>
  </cols>
  <sheetData>
    <row r="1" spans="1:12" ht="13.15" thickBot="1" x14ac:dyDescent="0.4"/>
    <row r="2" spans="1:12" x14ac:dyDescent="0.35">
      <c r="A2" s="108"/>
      <c r="B2" s="109">
        <v>2016</v>
      </c>
      <c r="C2" s="109">
        <v>2017</v>
      </c>
      <c r="D2" s="109">
        <v>2018</v>
      </c>
      <c r="E2" s="109">
        <v>2019</v>
      </c>
      <c r="F2" s="109">
        <v>2020</v>
      </c>
      <c r="G2" s="110" t="s">
        <v>551</v>
      </c>
    </row>
    <row r="3" spans="1:12" ht="14.25" x14ac:dyDescent="0.45">
      <c r="A3" s="111" t="s">
        <v>552</v>
      </c>
      <c r="B3" s="112">
        <v>17642</v>
      </c>
      <c r="C3" s="112">
        <v>19284</v>
      </c>
      <c r="D3" s="112">
        <v>18431</v>
      </c>
      <c r="E3" s="112">
        <v>18030</v>
      </c>
      <c r="F3" s="112">
        <v>23446</v>
      </c>
      <c r="G3" s="113">
        <v>19366.599999999999</v>
      </c>
    </row>
    <row r="4" spans="1:12" ht="14.65" thickBot="1" x14ac:dyDescent="0.5">
      <c r="A4" s="114" t="s">
        <v>553</v>
      </c>
      <c r="B4" s="115">
        <v>9317</v>
      </c>
      <c r="C4" s="115">
        <v>10069</v>
      </c>
      <c r="D4" s="115">
        <v>9467</v>
      </c>
      <c r="E4" s="115">
        <v>9271</v>
      </c>
      <c r="F4" s="115">
        <v>11373</v>
      </c>
      <c r="G4" s="116">
        <v>9899.4</v>
      </c>
    </row>
    <row r="5" spans="1:12" x14ac:dyDescent="0.35">
      <c r="B5" s="117"/>
      <c r="C5" s="118"/>
      <c r="D5" s="118"/>
      <c r="E5" s="118"/>
    </row>
    <row r="6" spans="1:12" ht="15.4" thickBot="1" x14ac:dyDescent="0.45">
      <c r="A6" s="230" t="s">
        <v>554</v>
      </c>
      <c r="B6" s="231"/>
      <c r="C6" s="119" t="s">
        <v>14</v>
      </c>
      <c r="D6" s="119" t="s">
        <v>435</v>
      </c>
      <c r="E6" s="119" t="s">
        <v>555</v>
      </c>
    </row>
    <row r="7" spans="1:12" ht="14.25" x14ac:dyDescent="0.45">
      <c r="A7" s="218">
        <v>2016</v>
      </c>
      <c r="B7" s="120" t="s">
        <v>556</v>
      </c>
      <c r="C7" s="121">
        <v>17642</v>
      </c>
      <c r="D7" s="122">
        <v>9317</v>
      </c>
      <c r="E7" s="123">
        <f>D7/C7</f>
        <v>0.52811472622151678</v>
      </c>
      <c r="G7" s="124"/>
      <c r="H7" s="124"/>
      <c r="I7" s="124"/>
      <c r="J7" s="124"/>
      <c r="K7" s="124"/>
      <c r="L7" s="124"/>
    </row>
    <row r="8" spans="1:12" ht="14.25" x14ac:dyDescent="0.45">
      <c r="A8" s="219"/>
      <c r="B8" s="125" t="s">
        <v>557</v>
      </c>
      <c r="C8" s="126">
        <v>8641249.4299999997</v>
      </c>
      <c r="D8" s="126">
        <v>4587960.28</v>
      </c>
      <c r="E8" s="127">
        <f t="shared" ref="E8:E38" si="0">D8/C8</f>
        <v>0.53093714250069979</v>
      </c>
      <c r="G8" s="124"/>
      <c r="H8" s="128"/>
      <c r="I8" s="128"/>
      <c r="J8" s="128"/>
      <c r="K8" s="128"/>
      <c r="L8" s="124"/>
    </row>
    <row r="9" spans="1:12" x14ac:dyDescent="0.35">
      <c r="A9" s="219"/>
      <c r="B9" s="125" t="s">
        <v>558</v>
      </c>
      <c r="C9" s="126">
        <f>C8/C7</f>
        <v>489.81121358122658</v>
      </c>
      <c r="D9" s="126">
        <f>D8/D7</f>
        <v>492.428923473221</v>
      </c>
      <c r="E9" s="127">
        <f t="shared" si="0"/>
        <v>1.0053443241383864</v>
      </c>
    </row>
    <row r="10" spans="1:12" ht="13.15" thickBot="1" x14ac:dyDescent="0.4">
      <c r="A10" s="220"/>
      <c r="B10" s="129" t="s">
        <v>559</v>
      </c>
      <c r="C10" s="130">
        <v>29903</v>
      </c>
      <c r="D10" s="130">
        <v>16201</v>
      </c>
      <c r="E10" s="131">
        <f t="shared" si="0"/>
        <v>0.54178510517339395</v>
      </c>
    </row>
    <row r="11" spans="1:12" x14ac:dyDescent="0.35">
      <c r="A11" s="218">
        <v>2017</v>
      </c>
      <c r="B11" s="120" t="s">
        <v>556</v>
      </c>
      <c r="C11" s="121">
        <v>19284</v>
      </c>
      <c r="D11" s="122">
        <v>10069</v>
      </c>
      <c r="E11" s="123">
        <f t="shared" si="0"/>
        <v>0.52214270898153914</v>
      </c>
    </row>
    <row r="12" spans="1:12" x14ac:dyDescent="0.35">
      <c r="A12" s="219"/>
      <c r="B12" s="125" t="s">
        <v>557</v>
      </c>
      <c r="C12" s="126">
        <v>10430333.470000001</v>
      </c>
      <c r="D12" s="126">
        <v>5479977.2000000002</v>
      </c>
      <c r="E12" s="127">
        <f t="shared" si="0"/>
        <v>0.52538849460198511</v>
      </c>
    </row>
    <row r="13" spans="1:12" x14ac:dyDescent="0.35">
      <c r="A13" s="219"/>
      <c r="B13" s="125" t="s">
        <v>558</v>
      </c>
      <c r="C13" s="126">
        <f>C12/C11</f>
        <v>540.88018409043775</v>
      </c>
      <c r="D13" s="126">
        <f>D12/D11</f>
        <v>544.24244711490712</v>
      </c>
      <c r="E13" s="127">
        <f t="shared" si="0"/>
        <v>1.0062162806539556</v>
      </c>
    </row>
    <row r="14" spans="1:12" ht="13.15" thickBot="1" x14ac:dyDescent="0.4">
      <c r="A14" s="220"/>
      <c r="B14" s="129" t="s">
        <v>559</v>
      </c>
      <c r="C14" s="130">
        <v>33615</v>
      </c>
      <c r="D14" s="130">
        <v>18118</v>
      </c>
      <c r="E14" s="131">
        <f t="shared" si="0"/>
        <v>0.53898557191729879</v>
      </c>
    </row>
    <row r="15" spans="1:12" x14ac:dyDescent="0.35">
      <c r="A15" s="218">
        <v>2018</v>
      </c>
      <c r="B15" s="120" t="s">
        <v>556</v>
      </c>
      <c r="C15" s="121">
        <v>18431</v>
      </c>
      <c r="D15" s="122">
        <v>9467</v>
      </c>
      <c r="E15" s="123">
        <f t="shared" si="0"/>
        <v>0.51364548857902448</v>
      </c>
    </row>
    <row r="16" spans="1:12" x14ac:dyDescent="0.35">
      <c r="A16" s="219"/>
      <c r="B16" s="125" t="s">
        <v>557</v>
      </c>
      <c r="C16" s="126">
        <v>10057123.560000001</v>
      </c>
      <c r="D16" s="126">
        <v>5186521.58</v>
      </c>
      <c r="E16" s="127">
        <f t="shared" si="0"/>
        <v>0.5157062602500232</v>
      </c>
    </row>
    <row r="17" spans="1:5" x14ac:dyDescent="0.35">
      <c r="A17" s="219"/>
      <c r="B17" s="125" t="s">
        <v>560</v>
      </c>
      <c r="C17" s="126">
        <f>C16/C15</f>
        <v>545.66347783625417</v>
      </c>
      <c r="D17" s="126">
        <f>D16/D15</f>
        <v>547.8527072990388</v>
      </c>
      <c r="E17" s="127">
        <f t="shared" si="0"/>
        <v>1.0040120505617596</v>
      </c>
    </row>
    <row r="18" spans="1:5" ht="13.15" thickBot="1" x14ac:dyDescent="0.4">
      <c r="A18" s="220"/>
      <c r="B18" s="129" t="s">
        <v>559</v>
      </c>
      <c r="C18" s="130">
        <v>32412</v>
      </c>
      <c r="D18" s="130">
        <v>17163</v>
      </c>
      <c r="E18" s="131">
        <f t="shared" si="0"/>
        <v>0.52952610144390966</v>
      </c>
    </row>
    <row r="19" spans="1:5" x14ac:dyDescent="0.35">
      <c r="A19" s="218">
        <v>2019</v>
      </c>
      <c r="B19" s="120" t="s">
        <v>556</v>
      </c>
      <c r="C19" s="121">
        <v>18030</v>
      </c>
      <c r="D19" s="122">
        <v>9271</v>
      </c>
      <c r="E19" s="123">
        <f t="shared" si="0"/>
        <v>0.5141985579589573</v>
      </c>
    </row>
    <row r="20" spans="1:5" x14ac:dyDescent="0.35">
      <c r="A20" s="219"/>
      <c r="B20" s="125" t="s">
        <v>557</v>
      </c>
      <c r="C20" s="126">
        <v>9377816.7300000004</v>
      </c>
      <c r="D20" s="126">
        <v>4812850.0199999996</v>
      </c>
      <c r="E20" s="127">
        <f t="shared" si="0"/>
        <v>0.51321647229503908</v>
      </c>
    </row>
    <row r="21" spans="1:5" x14ac:dyDescent="0.35">
      <c r="A21" s="219"/>
      <c r="B21" s="125" t="s">
        <v>560</v>
      </c>
      <c r="C21" s="126">
        <f>C20/C19</f>
        <v>520.12294675540772</v>
      </c>
      <c r="D21" s="126">
        <f>D20/D19</f>
        <v>519.12954589580409</v>
      </c>
      <c r="E21" s="127">
        <f t="shared" si="0"/>
        <v>0.99809006530898015</v>
      </c>
    </row>
    <row r="22" spans="1:5" ht="13.15" thickBot="1" x14ac:dyDescent="0.4">
      <c r="A22" s="220"/>
      <c r="B22" s="129" t="s">
        <v>559</v>
      </c>
      <c r="C22" s="130">
        <v>29957</v>
      </c>
      <c r="D22" s="130">
        <v>15767</v>
      </c>
      <c r="E22" s="131">
        <f t="shared" si="0"/>
        <v>0.52632106018626701</v>
      </c>
    </row>
    <row r="23" spans="1:5" ht="13.15" hidden="1" thickBot="1" x14ac:dyDescent="0.4">
      <c r="A23" s="221" t="s">
        <v>561</v>
      </c>
      <c r="B23" s="120" t="s">
        <v>556</v>
      </c>
      <c r="C23" s="122">
        <f>AVERAGE(C7,C11,C15,C19)</f>
        <v>18346.75</v>
      </c>
      <c r="D23" s="122">
        <f>AVERAGE(D7,D11,D15,D19)</f>
        <v>9531</v>
      </c>
      <c r="E23" s="123">
        <f t="shared" si="0"/>
        <v>0.51949255317699317</v>
      </c>
    </row>
    <row r="24" spans="1:5" ht="13.15" hidden="1" thickBot="1" x14ac:dyDescent="0.4">
      <c r="A24" s="222"/>
      <c r="B24" s="125" t="s">
        <v>557</v>
      </c>
      <c r="C24" s="126">
        <f>AVERAGE(C8,C12,C16,C20)</f>
        <v>9626630.7974999994</v>
      </c>
      <c r="D24" s="126">
        <f>AVERAGE(D8,D12,D16,D20)</f>
        <v>5016827.2699999996</v>
      </c>
      <c r="E24" s="127">
        <f t="shared" si="0"/>
        <v>0.52114050860897787</v>
      </c>
    </row>
    <row r="25" spans="1:5" ht="13.15" hidden="1" thickBot="1" x14ac:dyDescent="0.4">
      <c r="A25" s="222"/>
      <c r="B25" s="125" t="s">
        <v>560</v>
      </c>
      <c r="C25" s="126">
        <f>C24/C23</f>
        <v>524.70496395819418</v>
      </c>
      <c r="D25" s="126">
        <f>D24/D23</f>
        <v>526.36945441191892</v>
      </c>
      <c r="E25" s="127">
        <f t="shared" si="0"/>
        <v>1.00317224072204</v>
      </c>
    </row>
    <row r="26" spans="1:5" ht="13.15" hidden="1" thickBot="1" x14ac:dyDescent="0.4">
      <c r="A26" s="223"/>
      <c r="B26" s="129" t="s">
        <v>559</v>
      </c>
      <c r="C26" s="130">
        <f>AVERAGE(C10,C14,C18,C22)</f>
        <v>31471.75</v>
      </c>
      <c r="D26" s="130">
        <f>AVERAGE(D10,D14,D18,D22)</f>
        <v>16812.25</v>
      </c>
      <c r="E26" s="131">
        <f t="shared" si="0"/>
        <v>0.53420130752182515</v>
      </c>
    </row>
    <row r="27" spans="1:5" ht="12.75" customHeight="1" x14ac:dyDescent="0.35">
      <c r="A27" s="218">
        <v>2020</v>
      </c>
      <c r="B27" s="120" t="s">
        <v>556</v>
      </c>
      <c r="C27" s="121">
        <v>23446</v>
      </c>
      <c r="D27" s="122">
        <v>11373</v>
      </c>
      <c r="E27" s="123">
        <f t="shared" si="0"/>
        <v>0.48507208052546275</v>
      </c>
    </row>
    <row r="28" spans="1:5" ht="12.75" customHeight="1" x14ac:dyDescent="0.35">
      <c r="A28" s="219"/>
      <c r="B28" s="125" t="s">
        <v>557</v>
      </c>
      <c r="C28" s="126">
        <v>12232773.289999999</v>
      </c>
      <c r="D28" s="126">
        <v>6004506.71</v>
      </c>
      <c r="E28" s="127">
        <f t="shared" si="0"/>
        <v>0.49085408252505924</v>
      </c>
    </row>
    <row r="29" spans="1:5" ht="12.75" customHeight="1" x14ac:dyDescent="0.35">
      <c r="A29" s="219"/>
      <c r="B29" s="125" t="s">
        <v>560</v>
      </c>
      <c r="C29" s="126">
        <f>C28/C27</f>
        <v>521.74244178111405</v>
      </c>
      <c r="D29" s="126">
        <f>D28/D27</f>
        <v>527.96155016266596</v>
      </c>
      <c r="E29" s="127">
        <f t="shared" si="0"/>
        <v>1.0119198820788304</v>
      </c>
    </row>
    <row r="30" spans="1:5" ht="13.5" customHeight="1" thickBot="1" x14ac:dyDescent="0.4">
      <c r="A30" s="220"/>
      <c r="B30" s="129" t="s">
        <v>559</v>
      </c>
      <c r="C30" s="130">
        <v>38666</v>
      </c>
      <c r="D30" s="130">
        <v>19303</v>
      </c>
      <c r="E30" s="131">
        <f t="shared" si="0"/>
        <v>0.49922412455387161</v>
      </c>
    </row>
    <row r="31" spans="1:5" x14ac:dyDescent="0.35">
      <c r="A31" s="221" t="s">
        <v>562</v>
      </c>
      <c r="B31" s="120" t="s">
        <v>556</v>
      </c>
      <c r="C31" s="122">
        <f>AVERAGE(C15,C19,C27,C7,C11)</f>
        <v>19366.599999999999</v>
      </c>
      <c r="D31" s="122">
        <f>AVERAGE(D15,D19,D27,D7,D11)</f>
        <v>9899.4</v>
      </c>
      <c r="E31" s="123">
        <f t="shared" si="0"/>
        <v>0.51115838608738762</v>
      </c>
    </row>
    <row r="32" spans="1:5" x14ac:dyDescent="0.35">
      <c r="A32" s="222"/>
      <c r="B32" s="125" t="s">
        <v>557</v>
      </c>
      <c r="C32" s="126">
        <f>AVERAGE(C16,C20,C28,C8,C12)</f>
        <v>10147859.296</v>
      </c>
      <c r="D32" s="126">
        <f>AVERAGE(D16,D20,D28,D8,D12)</f>
        <v>5214363.1579999998</v>
      </c>
      <c r="E32" s="127">
        <f t="shared" si="0"/>
        <v>0.51383873247585865</v>
      </c>
    </row>
    <row r="33" spans="1:7" x14ac:dyDescent="0.35">
      <c r="A33" s="222"/>
      <c r="B33" s="125" t="s">
        <v>560</v>
      </c>
      <c r="C33" s="126">
        <f>C32/C31</f>
        <v>523.98765379571023</v>
      </c>
      <c r="D33" s="126">
        <f>D32/D31</f>
        <v>526.73527264278641</v>
      </c>
      <c r="E33" s="127">
        <f t="shared" si="0"/>
        <v>1.0052436709666206</v>
      </c>
    </row>
    <row r="34" spans="1:7" ht="13.15" thickBot="1" x14ac:dyDescent="0.4">
      <c r="A34" s="223"/>
      <c r="B34" s="129" t="s">
        <v>559</v>
      </c>
      <c r="C34" s="130">
        <f>AVERAGE(C18,C22,C30,C10,C14)</f>
        <v>32910.6</v>
      </c>
      <c r="D34" s="130">
        <f>AVERAGE(D18,D22,D30,D10,D14)</f>
        <v>17310.400000000001</v>
      </c>
      <c r="E34" s="131">
        <f t="shared" si="0"/>
        <v>0.52598251019428399</v>
      </c>
    </row>
    <row r="35" spans="1:7" hidden="1" x14ac:dyDescent="0.35">
      <c r="A35" s="224">
        <v>2021</v>
      </c>
      <c r="B35" s="120" t="s">
        <v>556</v>
      </c>
      <c r="C35" s="122"/>
      <c r="D35" s="122"/>
      <c r="E35" s="123" t="e">
        <f t="shared" si="0"/>
        <v>#DIV/0!</v>
      </c>
    </row>
    <row r="36" spans="1:7" hidden="1" x14ac:dyDescent="0.35">
      <c r="A36" s="225"/>
      <c r="B36" s="125" t="s">
        <v>557</v>
      </c>
      <c r="C36" s="126"/>
      <c r="D36" s="126"/>
      <c r="E36" s="127" t="e">
        <f t="shared" si="0"/>
        <v>#DIV/0!</v>
      </c>
    </row>
    <row r="37" spans="1:7" hidden="1" x14ac:dyDescent="0.35">
      <c r="A37" s="225"/>
      <c r="B37" s="125" t="s">
        <v>560</v>
      </c>
      <c r="C37" s="126"/>
      <c r="D37" s="126"/>
      <c r="E37" s="127" t="e">
        <f t="shared" si="0"/>
        <v>#DIV/0!</v>
      </c>
    </row>
    <row r="38" spans="1:7" ht="12.75" hidden="1" customHeight="1" x14ac:dyDescent="0.35">
      <c r="A38" s="226"/>
      <c r="B38" s="129" t="s">
        <v>559</v>
      </c>
      <c r="C38" s="130"/>
      <c r="D38" s="130"/>
      <c r="E38" s="131" t="e">
        <f t="shared" si="0"/>
        <v>#DIV/0!</v>
      </c>
    </row>
    <row r="39" spans="1:7" ht="12.75" customHeight="1" x14ac:dyDescent="0.35"/>
    <row r="40" spans="1:7" ht="12.75" customHeight="1" thickBot="1" x14ac:dyDescent="0.4"/>
    <row r="41" spans="1:7" x14ac:dyDescent="0.35">
      <c r="A41" s="227" t="s">
        <v>556</v>
      </c>
      <c r="B41" s="132"/>
      <c r="C41" s="122" t="s">
        <v>14</v>
      </c>
      <c r="D41" s="133" t="s">
        <v>435</v>
      </c>
      <c r="E41" s="134"/>
    </row>
    <row r="42" spans="1:7" x14ac:dyDescent="0.35">
      <c r="A42" s="228"/>
      <c r="B42" s="135">
        <v>2016</v>
      </c>
      <c r="C42" s="136">
        <f>C7</f>
        <v>17642</v>
      </c>
      <c r="D42" s="137">
        <f>D7</f>
        <v>9317</v>
      </c>
      <c r="E42" s="134"/>
    </row>
    <row r="43" spans="1:7" x14ac:dyDescent="0.35">
      <c r="A43" s="228"/>
      <c r="B43" s="138">
        <v>2017</v>
      </c>
      <c r="C43" s="136">
        <f>C11</f>
        <v>19284</v>
      </c>
      <c r="D43" s="136">
        <f>D11</f>
        <v>10069</v>
      </c>
      <c r="E43" s="139"/>
    </row>
    <row r="44" spans="1:7" x14ac:dyDescent="0.35">
      <c r="A44" s="228"/>
      <c r="B44" s="138">
        <v>2018</v>
      </c>
      <c r="C44" s="136">
        <f>C15</f>
        <v>18431</v>
      </c>
      <c r="D44" s="136">
        <f>D15</f>
        <v>9467</v>
      </c>
      <c r="E44" s="139"/>
    </row>
    <row r="45" spans="1:7" x14ac:dyDescent="0.35">
      <c r="A45" s="228"/>
      <c r="B45" s="138">
        <v>2019</v>
      </c>
      <c r="C45" s="136">
        <f>C19</f>
        <v>18030</v>
      </c>
      <c r="D45" s="136">
        <f>D19</f>
        <v>9271</v>
      </c>
      <c r="E45" s="134"/>
      <c r="G45" s="107" t="s">
        <v>563</v>
      </c>
    </row>
    <row r="46" spans="1:7" hidden="1" x14ac:dyDescent="0.35">
      <c r="A46" s="228"/>
      <c r="B46" s="140" t="s">
        <v>564</v>
      </c>
      <c r="C46" s="136">
        <f>C23</f>
        <v>18346.75</v>
      </c>
      <c r="D46" s="136">
        <f>D23</f>
        <v>9531</v>
      </c>
      <c r="E46" s="134"/>
    </row>
    <row r="47" spans="1:7" x14ac:dyDescent="0.35">
      <c r="A47" s="228"/>
      <c r="B47" s="141">
        <v>2020</v>
      </c>
      <c r="C47" s="136">
        <f>C27</f>
        <v>23446</v>
      </c>
      <c r="D47" s="136">
        <f>D27</f>
        <v>11373</v>
      </c>
      <c r="E47" s="134"/>
    </row>
    <row r="48" spans="1:7" ht="12.75" hidden="1" customHeight="1" x14ac:dyDescent="0.35">
      <c r="A48" s="228"/>
      <c r="B48" s="138">
        <v>2021</v>
      </c>
      <c r="C48" s="136">
        <f>C35</f>
        <v>0</v>
      </c>
      <c r="D48" s="136">
        <f>D35</f>
        <v>0</v>
      </c>
      <c r="E48" s="139"/>
    </row>
    <row r="49" spans="1:5" ht="15.75" customHeight="1" thickBot="1" x14ac:dyDescent="0.4">
      <c r="A49" s="229"/>
      <c r="B49" s="142" t="s">
        <v>565</v>
      </c>
      <c r="C49" s="136">
        <f>C31</f>
        <v>19366.599999999999</v>
      </c>
      <c r="D49" s="136">
        <f>D31</f>
        <v>9899.4</v>
      </c>
      <c r="E49" s="139"/>
    </row>
    <row r="50" spans="1:5" ht="15.75" customHeight="1" thickBot="1" x14ac:dyDescent="0.45">
      <c r="A50" s="143"/>
      <c r="B50" s="143"/>
      <c r="C50" s="144"/>
      <c r="D50" s="144"/>
      <c r="E50" s="144"/>
    </row>
    <row r="51" spans="1:5" ht="15.75" customHeight="1" x14ac:dyDescent="0.35">
      <c r="A51" s="227" t="s">
        <v>557</v>
      </c>
      <c r="B51" s="132"/>
      <c r="C51" s="122" t="s">
        <v>14</v>
      </c>
      <c r="D51" s="145" t="s">
        <v>435</v>
      </c>
      <c r="E51" s="134"/>
    </row>
    <row r="52" spans="1:5" ht="15.75" customHeight="1" x14ac:dyDescent="0.35">
      <c r="A52" s="228"/>
      <c r="B52" s="135">
        <v>2016</v>
      </c>
      <c r="C52" s="146">
        <f>C8</f>
        <v>8641249.4299999997</v>
      </c>
      <c r="D52" s="147">
        <f>D8</f>
        <v>4587960.28</v>
      </c>
      <c r="E52" s="134"/>
    </row>
    <row r="53" spans="1:5" ht="15.75" customHeight="1" x14ac:dyDescent="0.35">
      <c r="A53" s="228"/>
      <c r="B53" s="138">
        <v>2017</v>
      </c>
      <c r="C53" s="148">
        <f>C12</f>
        <v>10430333.470000001</v>
      </c>
      <c r="D53" s="149">
        <f>D12</f>
        <v>5479977.2000000002</v>
      </c>
      <c r="E53" s="139"/>
    </row>
    <row r="54" spans="1:5" ht="14.25" customHeight="1" x14ac:dyDescent="0.35">
      <c r="A54" s="228"/>
      <c r="B54" s="138">
        <v>2018</v>
      </c>
      <c r="C54" s="148">
        <f>C16</f>
        <v>10057123.560000001</v>
      </c>
      <c r="D54" s="149">
        <f>D16</f>
        <v>5186521.58</v>
      </c>
      <c r="E54" s="139"/>
    </row>
    <row r="55" spans="1:5" ht="14.25" customHeight="1" x14ac:dyDescent="0.35">
      <c r="A55" s="228"/>
      <c r="B55" s="138">
        <v>2019</v>
      </c>
      <c r="C55" s="148">
        <f>C20</f>
        <v>9377816.7300000004</v>
      </c>
      <c r="D55" s="149">
        <f>D20</f>
        <v>4812850.0199999996</v>
      </c>
      <c r="E55" s="134"/>
    </row>
    <row r="56" spans="1:5" ht="14.25" hidden="1" customHeight="1" x14ac:dyDescent="0.35">
      <c r="A56" s="228"/>
      <c r="B56" s="140" t="s">
        <v>564</v>
      </c>
      <c r="C56" s="148">
        <f>C24</f>
        <v>9626630.7974999994</v>
      </c>
      <c r="D56" s="149">
        <f>D24</f>
        <v>5016827.2699999996</v>
      </c>
      <c r="E56" s="134"/>
    </row>
    <row r="57" spans="1:5" ht="14.25" customHeight="1" x14ac:dyDescent="0.35">
      <c r="A57" s="228"/>
      <c r="B57" s="138">
        <v>2020</v>
      </c>
      <c r="C57" s="148">
        <f>C28</f>
        <v>12232773.289999999</v>
      </c>
      <c r="D57" s="149">
        <f>D28</f>
        <v>6004506.71</v>
      </c>
      <c r="E57" s="139"/>
    </row>
    <row r="58" spans="1:5" ht="14.25" customHeight="1" thickBot="1" x14ac:dyDescent="0.4">
      <c r="A58" s="228"/>
      <c r="B58" s="142" t="s">
        <v>565</v>
      </c>
      <c r="C58" s="150">
        <f>C32</f>
        <v>10147859.296</v>
      </c>
      <c r="D58" s="151">
        <f>D32</f>
        <v>5214363.1579999998</v>
      </c>
      <c r="E58" s="139"/>
    </row>
    <row r="59" spans="1:5" ht="14.25" hidden="1" customHeight="1" x14ac:dyDescent="0.35">
      <c r="A59" s="229"/>
      <c r="B59" s="152">
        <v>2021</v>
      </c>
      <c r="C59" s="153"/>
      <c r="D59" s="153"/>
      <c r="E59" s="139"/>
    </row>
    <row r="60" spans="1:5" ht="12.75" customHeight="1" thickBot="1" x14ac:dyDescent="0.45">
      <c r="A60" s="143"/>
      <c r="B60" s="143"/>
      <c r="C60" s="144"/>
      <c r="D60" s="144"/>
      <c r="E60" s="144"/>
    </row>
    <row r="61" spans="1:5" ht="12.75" customHeight="1" x14ac:dyDescent="0.35">
      <c r="A61" s="227" t="s">
        <v>559</v>
      </c>
      <c r="B61" s="132"/>
      <c r="C61" s="122" t="s">
        <v>14</v>
      </c>
      <c r="D61" s="145" t="s">
        <v>435</v>
      </c>
      <c r="E61" s="134"/>
    </row>
    <row r="62" spans="1:5" ht="12.75" customHeight="1" x14ac:dyDescent="0.35">
      <c r="A62" s="228"/>
      <c r="B62" s="135">
        <v>2016</v>
      </c>
      <c r="C62" s="136">
        <f>C10</f>
        <v>29903</v>
      </c>
      <c r="D62" s="154">
        <f>D10</f>
        <v>16201</v>
      </c>
      <c r="E62" s="134"/>
    </row>
    <row r="63" spans="1:5" ht="12.75" customHeight="1" x14ac:dyDescent="0.35">
      <c r="A63" s="228"/>
      <c r="B63" s="138">
        <v>2017</v>
      </c>
      <c r="C63" s="126">
        <f>C14</f>
        <v>33615</v>
      </c>
      <c r="D63" s="155">
        <f>D14</f>
        <v>18118</v>
      </c>
      <c r="E63" s="139"/>
    </row>
    <row r="64" spans="1:5" ht="12.75" customHeight="1" x14ac:dyDescent="0.35">
      <c r="A64" s="228"/>
      <c r="B64" s="138">
        <v>2018</v>
      </c>
      <c r="C64" s="126">
        <f>C18</f>
        <v>32412</v>
      </c>
      <c r="D64" s="155">
        <f>D18</f>
        <v>17163</v>
      </c>
      <c r="E64" s="139"/>
    </row>
    <row r="65" spans="1:5" ht="12.75" customHeight="1" x14ac:dyDescent="0.35">
      <c r="A65" s="228"/>
      <c r="B65" s="138">
        <v>2019</v>
      </c>
      <c r="C65" s="156">
        <f>C22</f>
        <v>29957</v>
      </c>
      <c r="D65" s="157">
        <f>D22</f>
        <v>15767</v>
      </c>
      <c r="E65" s="134"/>
    </row>
    <row r="66" spans="1:5" ht="12.75" hidden="1" customHeight="1" x14ac:dyDescent="0.35">
      <c r="A66" s="228"/>
      <c r="B66" s="140" t="s">
        <v>564</v>
      </c>
      <c r="C66" s="156">
        <f>C26</f>
        <v>31471.75</v>
      </c>
      <c r="D66" s="157">
        <f>D26</f>
        <v>16812.25</v>
      </c>
      <c r="E66" s="134"/>
    </row>
    <row r="67" spans="1:5" x14ac:dyDescent="0.35">
      <c r="A67" s="228"/>
      <c r="B67" s="138">
        <v>2020</v>
      </c>
      <c r="C67" s="126">
        <f>C30</f>
        <v>38666</v>
      </c>
      <c r="D67" s="155">
        <f>D30</f>
        <v>19303</v>
      </c>
      <c r="E67" s="139"/>
    </row>
    <row r="68" spans="1:5" ht="13.5" customHeight="1" thickBot="1" x14ac:dyDescent="0.4">
      <c r="A68" s="228"/>
      <c r="B68" s="142" t="s">
        <v>565</v>
      </c>
      <c r="C68" s="158">
        <f>C34</f>
        <v>32910.6</v>
      </c>
      <c r="D68" s="159">
        <f>D34</f>
        <v>17310.400000000001</v>
      </c>
      <c r="E68" s="139"/>
    </row>
    <row r="69" spans="1:5" ht="13.5" hidden="1" customHeight="1" x14ac:dyDescent="0.35">
      <c r="A69" s="229"/>
      <c r="B69" s="152">
        <v>2021</v>
      </c>
      <c r="C69" s="153">
        <f>C38</f>
        <v>0</v>
      </c>
      <c r="D69" s="153">
        <f>D38</f>
        <v>0</v>
      </c>
      <c r="E69" s="139"/>
    </row>
    <row r="70" spans="1:5" ht="14.25" x14ac:dyDescent="0.45">
      <c r="A70"/>
      <c r="B70"/>
      <c r="C70"/>
      <c r="D70"/>
      <c r="E70"/>
    </row>
    <row r="73" spans="1:5" ht="13.15" thickBot="1" x14ac:dyDescent="0.4">
      <c r="A73" s="160"/>
      <c r="B73" s="160"/>
      <c r="C73" s="161" t="s">
        <v>566</v>
      </c>
      <c r="D73" s="161" t="s">
        <v>567</v>
      </c>
      <c r="E73" s="106"/>
    </row>
    <row r="74" spans="1:5" x14ac:dyDescent="0.35">
      <c r="A74" s="209" t="s">
        <v>562</v>
      </c>
      <c r="B74" s="162" t="s">
        <v>568</v>
      </c>
      <c r="C74" s="163">
        <f t="shared" ref="C74:D77" si="1">C31</f>
        <v>19366.599999999999</v>
      </c>
      <c r="D74" s="164">
        <f t="shared" si="1"/>
        <v>9899.4</v>
      </c>
      <c r="E74" s="165"/>
    </row>
    <row r="75" spans="1:5" x14ac:dyDescent="0.35">
      <c r="A75" s="210"/>
      <c r="B75" s="166" t="s">
        <v>569</v>
      </c>
      <c r="C75" s="167">
        <f t="shared" si="1"/>
        <v>10147859.296</v>
      </c>
      <c r="D75" s="167">
        <f t="shared" si="1"/>
        <v>5214363.1579999998</v>
      </c>
      <c r="E75" s="168"/>
    </row>
    <row r="76" spans="1:5" x14ac:dyDescent="0.35">
      <c r="A76" s="210"/>
      <c r="B76" s="166" t="s">
        <v>570</v>
      </c>
      <c r="C76" s="167">
        <f t="shared" si="1"/>
        <v>523.98765379571023</v>
      </c>
      <c r="D76" s="167">
        <f t="shared" si="1"/>
        <v>526.73527264278641</v>
      </c>
      <c r="E76" s="168"/>
    </row>
    <row r="77" spans="1:5" ht="13.15" thickBot="1" x14ac:dyDescent="0.4">
      <c r="A77" s="211"/>
      <c r="B77" s="169" t="s">
        <v>571</v>
      </c>
      <c r="C77" s="170">
        <f t="shared" si="1"/>
        <v>32910.6</v>
      </c>
      <c r="D77" s="170">
        <f t="shared" si="1"/>
        <v>17310.400000000001</v>
      </c>
      <c r="E77" s="128"/>
    </row>
    <row r="78" spans="1:5" x14ac:dyDescent="0.35">
      <c r="A78" s="212">
        <v>2020</v>
      </c>
      <c r="B78" s="171" t="s">
        <v>572</v>
      </c>
      <c r="C78" s="172">
        <f t="shared" ref="C78:D81" si="2">C27</f>
        <v>23446</v>
      </c>
      <c r="D78" s="172">
        <f t="shared" si="2"/>
        <v>11373</v>
      </c>
      <c r="E78" s="165"/>
    </row>
    <row r="79" spans="1:5" x14ac:dyDescent="0.35">
      <c r="A79" s="213"/>
      <c r="B79" s="173" t="s">
        <v>573</v>
      </c>
      <c r="C79" s="174">
        <f t="shared" si="2"/>
        <v>12232773.289999999</v>
      </c>
      <c r="D79" s="174">
        <f t="shared" si="2"/>
        <v>6004506.71</v>
      </c>
      <c r="E79" s="168"/>
    </row>
    <row r="80" spans="1:5" x14ac:dyDescent="0.35">
      <c r="A80" s="213"/>
      <c r="B80" s="173" t="s">
        <v>574</v>
      </c>
      <c r="C80" s="174">
        <f t="shared" si="2"/>
        <v>521.74244178111405</v>
      </c>
      <c r="D80" s="174">
        <f t="shared" si="2"/>
        <v>527.96155016266596</v>
      </c>
      <c r="E80" s="168"/>
    </row>
    <row r="81" spans="1:5" ht="13.15" thickBot="1" x14ac:dyDescent="0.4">
      <c r="A81" s="214"/>
      <c r="B81" s="175" t="s">
        <v>575</v>
      </c>
      <c r="C81" s="176">
        <f t="shared" si="2"/>
        <v>38666</v>
      </c>
      <c r="D81" s="176">
        <f t="shared" si="2"/>
        <v>19303</v>
      </c>
      <c r="E81" s="128"/>
    </row>
    <row r="82" spans="1:5" ht="14.25" hidden="1" customHeight="1" x14ac:dyDescent="0.35">
      <c r="A82" s="212">
        <v>2021</v>
      </c>
      <c r="B82" s="177" t="s">
        <v>576</v>
      </c>
      <c r="C82" s="163">
        <f t="shared" ref="C82:D85" si="3">C35</f>
        <v>0</v>
      </c>
      <c r="D82" s="163">
        <f t="shared" si="3"/>
        <v>0</v>
      </c>
      <c r="E82" s="165"/>
    </row>
    <row r="83" spans="1:5" ht="14.25" hidden="1" customHeight="1" x14ac:dyDescent="0.35">
      <c r="A83" s="213"/>
      <c r="B83" s="173" t="s">
        <v>577</v>
      </c>
      <c r="C83" s="174">
        <f t="shared" si="3"/>
        <v>0</v>
      </c>
      <c r="D83" s="174">
        <f t="shared" si="3"/>
        <v>0</v>
      </c>
      <c r="E83" s="168"/>
    </row>
    <row r="84" spans="1:5" ht="14.25" hidden="1" customHeight="1" x14ac:dyDescent="0.35">
      <c r="A84" s="213"/>
      <c r="B84" s="173" t="s">
        <v>578</v>
      </c>
      <c r="C84" s="174">
        <f t="shared" si="3"/>
        <v>0</v>
      </c>
      <c r="D84" s="174">
        <f t="shared" si="3"/>
        <v>0</v>
      </c>
      <c r="E84" s="168"/>
    </row>
    <row r="85" spans="1:5" ht="14.25" hidden="1" customHeight="1" x14ac:dyDescent="0.35">
      <c r="A85" s="214"/>
      <c r="B85" s="175" t="s">
        <v>579</v>
      </c>
      <c r="C85" s="176">
        <f t="shared" si="3"/>
        <v>0</v>
      </c>
      <c r="D85" s="176">
        <f t="shared" si="3"/>
        <v>0</v>
      </c>
      <c r="E85" s="128"/>
    </row>
    <row r="86" spans="1:5" ht="12.75" customHeight="1" x14ac:dyDescent="0.35">
      <c r="A86" s="215" t="s">
        <v>580</v>
      </c>
      <c r="B86" s="178" t="s">
        <v>581</v>
      </c>
      <c r="C86" s="179">
        <v>94387</v>
      </c>
      <c r="D86" s="179">
        <v>91524</v>
      </c>
      <c r="E86" s="180"/>
    </row>
    <row r="87" spans="1:5" ht="14.25" customHeight="1" x14ac:dyDescent="0.35">
      <c r="A87" s="216"/>
      <c r="B87" s="181" t="s">
        <v>582</v>
      </c>
      <c r="C87" s="127">
        <f>C74/C86</f>
        <v>0.20518291713901277</v>
      </c>
      <c r="D87" s="127">
        <f>D74/D86</f>
        <v>0.10816179362790088</v>
      </c>
      <c r="E87" s="182"/>
    </row>
    <row r="88" spans="1:5" ht="14.25" customHeight="1" x14ac:dyDescent="0.35">
      <c r="A88" s="216"/>
      <c r="B88" s="181">
        <v>2020</v>
      </c>
      <c r="C88" s="127">
        <f>C78/C86</f>
        <v>0.24840285208768156</v>
      </c>
      <c r="D88" s="127">
        <f>D78/D86</f>
        <v>0.12426248852759932</v>
      </c>
      <c r="E88" s="182"/>
    </row>
    <row r="89" spans="1:5" ht="13.15" thickBot="1" x14ac:dyDescent="0.4">
      <c r="A89" s="217"/>
      <c r="B89" s="183" t="s">
        <v>5</v>
      </c>
      <c r="C89" s="131">
        <f>C82/C86</f>
        <v>0</v>
      </c>
      <c r="D89" s="131">
        <f>D82/D86</f>
        <v>0</v>
      </c>
      <c r="E89" s="182"/>
    </row>
    <row r="90" spans="1:5" ht="14.25" customHeight="1" x14ac:dyDescent="0.35">
      <c r="A90" s="107"/>
    </row>
    <row r="91" spans="1:5" ht="14.25" customHeight="1" x14ac:dyDescent="0.35"/>
    <row r="92" spans="1:5" ht="14.25" customHeight="1" x14ac:dyDescent="0.35"/>
    <row r="93" spans="1:5" ht="14.25" customHeight="1" x14ac:dyDescent="0.35"/>
    <row r="94" spans="1:5" ht="14.25" customHeight="1" x14ac:dyDescent="0.35">
      <c r="A94" s="184" t="s">
        <v>580</v>
      </c>
      <c r="B94" s="173"/>
      <c r="C94" s="185" t="s">
        <v>14</v>
      </c>
      <c r="D94" s="185" t="s">
        <v>435</v>
      </c>
      <c r="E94" s="186"/>
    </row>
    <row r="95" spans="1:5" ht="14.25" customHeight="1" x14ac:dyDescent="0.35">
      <c r="A95" s="184"/>
      <c r="B95" s="187" t="s">
        <v>581</v>
      </c>
      <c r="C95" s="188">
        <v>94387</v>
      </c>
      <c r="D95" s="188">
        <v>91524</v>
      </c>
      <c r="E95" s="128"/>
    </row>
    <row r="96" spans="1:5" ht="14.25" customHeight="1" x14ac:dyDescent="0.35">
      <c r="A96" s="184"/>
      <c r="B96" s="187" t="s">
        <v>583</v>
      </c>
      <c r="C96" s="188">
        <f>C42</f>
        <v>17642</v>
      </c>
      <c r="D96" s="188">
        <f>D42</f>
        <v>9317</v>
      </c>
      <c r="E96" s="128"/>
    </row>
    <row r="97" spans="1:5" ht="14.25" customHeight="1" x14ac:dyDescent="0.35">
      <c r="A97" s="184"/>
      <c r="B97" s="187" t="s">
        <v>584</v>
      </c>
      <c r="C97" s="188">
        <f t="shared" ref="C97:D99" si="4">C43</f>
        <v>19284</v>
      </c>
      <c r="D97" s="188">
        <f t="shared" si="4"/>
        <v>10069</v>
      </c>
      <c r="E97" s="128"/>
    </row>
    <row r="98" spans="1:5" ht="14.25" customHeight="1" x14ac:dyDescent="0.35">
      <c r="A98" s="184"/>
      <c r="B98" s="187" t="s">
        <v>585</v>
      </c>
      <c r="C98" s="188">
        <f t="shared" si="4"/>
        <v>18431</v>
      </c>
      <c r="D98" s="188">
        <f t="shared" si="4"/>
        <v>9467</v>
      </c>
      <c r="E98" s="128"/>
    </row>
    <row r="99" spans="1:5" ht="14.25" customHeight="1" x14ac:dyDescent="0.35">
      <c r="A99" s="184"/>
      <c r="B99" s="187" t="s">
        <v>586</v>
      </c>
      <c r="C99" s="188">
        <f t="shared" si="4"/>
        <v>18030</v>
      </c>
      <c r="D99" s="188">
        <f t="shared" si="4"/>
        <v>9271</v>
      </c>
      <c r="E99" s="128"/>
    </row>
    <row r="100" spans="1:5" ht="14.25" customHeight="1" x14ac:dyDescent="0.35">
      <c r="A100" s="184"/>
      <c r="B100" s="187" t="s">
        <v>587</v>
      </c>
      <c r="C100" s="188">
        <f>C47</f>
        <v>23446</v>
      </c>
      <c r="D100" s="188">
        <f>D47</f>
        <v>11373</v>
      </c>
      <c r="E100" s="128"/>
    </row>
    <row r="101" spans="1:5" ht="14.25" hidden="1" customHeight="1" x14ac:dyDescent="0.45">
      <c r="A101" s="184"/>
      <c r="B101" s="189" t="s">
        <v>568</v>
      </c>
      <c r="C101" s="112">
        <f>C74</f>
        <v>19366.599999999999</v>
      </c>
      <c r="D101" s="112">
        <f>D74</f>
        <v>9899.4</v>
      </c>
      <c r="E101" s="190"/>
    </row>
    <row r="102" spans="1:5" ht="14.25" hidden="1" customHeight="1" x14ac:dyDescent="0.45">
      <c r="A102" s="184"/>
      <c r="B102" s="189" t="s">
        <v>572</v>
      </c>
      <c r="C102" s="112">
        <f>C78</f>
        <v>23446</v>
      </c>
      <c r="D102" s="112">
        <f>D78</f>
        <v>11373</v>
      </c>
      <c r="E102" s="190"/>
    </row>
    <row r="103" spans="1:5" ht="12.75" hidden="1" customHeight="1" x14ac:dyDescent="0.45">
      <c r="A103" s="184"/>
      <c r="B103" s="189" t="s">
        <v>576</v>
      </c>
      <c r="C103" s="112"/>
      <c r="D103" s="112"/>
      <c r="E103" s="190"/>
    </row>
    <row r="104" spans="1:5" ht="12.75" customHeight="1" x14ac:dyDescent="0.45">
      <c r="A104" s="184"/>
      <c r="B104" s="187">
        <v>2016</v>
      </c>
      <c r="C104" s="191">
        <f>C96/$C$95</f>
        <v>0.18691133312850286</v>
      </c>
      <c r="D104" s="191">
        <f>D96/$D$95</f>
        <v>0.10179843538306892</v>
      </c>
      <c r="E104" s="190"/>
    </row>
    <row r="105" spans="1:5" ht="12.75" customHeight="1" x14ac:dyDescent="0.45">
      <c r="A105" s="184"/>
      <c r="B105" s="187">
        <v>2017</v>
      </c>
      <c r="C105" s="191">
        <f>C97/$C$95</f>
        <v>0.20430779662453516</v>
      </c>
      <c r="D105" s="191">
        <f>D97/$D$95</f>
        <v>0.11001485949040689</v>
      </c>
      <c r="E105" s="190"/>
    </row>
    <row r="106" spans="1:5" ht="12.75" customHeight="1" x14ac:dyDescent="0.45">
      <c r="A106" s="184"/>
      <c r="B106" s="187">
        <v>2018</v>
      </c>
      <c r="C106" s="191">
        <f>C98/$C$95</f>
        <v>0.19527053513725406</v>
      </c>
      <c r="D106" s="191">
        <f>D98/$D$95</f>
        <v>0.10343734976618155</v>
      </c>
      <c r="E106" s="190"/>
    </row>
    <row r="107" spans="1:5" ht="12.75" customHeight="1" x14ac:dyDescent="0.45">
      <c r="A107" s="184"/>
      <c r="B107" s="187">
        <v>2019</v>
      </c>
      <c r="C107" s="191">
        <f>C99/$C$95</f>
        <v>0.19102206871709027</v>
      </c>
      <c r="D107" s="191">
        <f>D99/$D$95</f>
        <v>0.10129583497224771</v>
      </c>
      <c r="E107" s="190"/>
    </row>
    <row r="108" spans="1:5" ht="14.25" customHeight="1" x14ac:dyDescent="0.45">
      <c r="A108" s="184"/>
      <c r="B108" s="187">
        <v>2020</v>
      </c>
      <c r="C108" s="191">
        <f>C100/$C$95</f>
        <v>0.24840285208768156</v>
      </c>
      <c r="D108" s="191">
        <f>D100/$D$95</f>
        <v>0.12426248852759932</v>
      </c>
      <c r="E108" s="192"/>
    </row>
    <row r="109" spans="1:5" ht="14.25" hidden="1" customHeight="1" x14ac:dyDescent="0.45">
      <c r="A109" s="184"/>
      <c r="B109" s="187" t="s">
        <v>588</v>
      </c>
      <c r="C109" s="191">
        <f>C101/C95</f>
        <v>0.20518291713901277</v>
      </c>
      <c r="D109" s="191">
        <f>D101/D95</f>
        <v>0.10816179362790088</v>
      </c>
      <c r="E109" s="192"/>
    </row>
    <row r="110" spans="1:5" ht="14.25" hidden="1" customHeight="1" x14ac:dyDescent="0.35">
      <c r="A110" s="184"/>
      <c r="B110" s="187">
        <v>2021</v>
      </c>
      <c r="C110" s="193">
        <f>C103/C95</f>
        <v>0</v>
      </c>
      <c r="D110" s="193">
        <f>D103/D95</f>
        <v>0</v>
      </c>
      <c r="E110" s="194"/>
    </row>
    <row r="111" spans="1:5" ht="17.25" x14ac:dyDescent="0.35">
      <c r="A111" s="195"/>
    </row>
    <row r="113" spans="1:1" x14ac:dyDescent="0.35">
      <c r="A113" s="196" t="s">
        <v>589</v>
      </c>
    </row>
    <row r="122" spans="1:1" ht="14.25" customHeight="1" x14ac:dyDescent="0.35"/>
    <row r="123" spans="1:1" ht="14.25" customHeight="1" x14ac:dyDescent="0.35"/>
    <row r="124" spans="1:1" ht="14.25" customHeight="1" x14ac:dyDescent="0.35"/>
    <row r="125" spans="1:1" ht="14.25" customHeight="1" x14ac:dyDescent="0.35"/>
    <row r="126" spans="1:1" ht="14.25" customHeight="1" x14ac:dyDescent="0.35"/>
    <row r="127" spans="1:1" ht="14.25" customHeight="1" x14ac:dyDescent="0.35"/>
    <row r="128" spans="1:1" ht="14.25" customHeight="1" x14ac:dyDescent="0.35"/>
    <row r="129" ht="14.25" customHeight="1" x14ac:dyDescent="0.35"/>
    <row r="130" ht="14.25" customHeight="1" x14ac:dyDescent="0.35"/>
  </sheetData>
  <mergeCells count="16">
    <mergeCell ref="A23:A26"/>
    <mergeCell ref="A6:B6"/>
    <mergeCell ref="A7:A10"/>
    <mergeCell ref="A11:A14"/>
    <mergeCell ref="A15:A18"/>
    <mergeCell ref="A19:A22"/>
    <mergeCell ref="A74:A77"/>
    <mergeCell ref="A78:A81"/>
    <mergeCell ref="A82:A85"/>
    <mergeCell ref="A86:A89"/>
    <mergeCell ref="A27:A30"/>
    <mergeCell ref="A31:A34"/>
    <mergeCell ref="A35:A38"/>
    <mergeCell ref="A41:A49"/>
    <mergeCell ref="A51:A59"/>
    <mergeCell ref="A61:A6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C3FB-D54A-4B60-81BD-92589F75F520}">
  <dimension ref="A1:D11"/>
  <sheetViews>
    <sheetView workbookViewId="0">
      <selection activeCell="C15" sqref="C15"/>
    </sheetView>
  </sheetViews>
  <sheetFormatPr defaultRowHeight="14.25" x14ac:dyDescent="0.45"/>
  <cols>
    <col min="1" max="4" width="18.796875" customWidth="1"/>
  </cols>
  <sheetData>
    <row r="1" spans="1:4" ht="61.9" customHeight="1" thickBot="1" x14ac:dyDescent="0.5">
      <c r="A1" s="237" t="s">
        <v>68</v>
      </c>
      <c r="B1" s="104" t="s">
        <v>640</v>
      </c>
      <c r="C1" s="104" t="s">
        <v>641</v>
      </c>
      <c r="D1" s="104" t="s">
        <v>642</v>
      </c>
    </row>
    <row r="2" spans="1:4" ht="14.65" thickBot="1" x14ac:dyDescent="0.5">
      <c r="A2" s="238" t="s">
        <v>61</v>
      </c>
      <c r="B2" s="239">
        <v>802</v>
      </c>
      <c r="C2" s="240">
        <v>0.22</v>
      </c>
      <c r="D2" s="241">
        <v>752</v>
      </c>
    </row>
    <row r="3" spans="1:4" ht="14.65" thickBot="1" x14ac:dyDescent="0.5">
      <c r="A3" s="238" t="s">
        <v>62</v>
      </c>
      <c r="B3" s="239">
        <v>810</v>
      </c>
      <c r="C3" s="240">
        <v>0.13</v>
      </c>
      <c r="D3" s="241">
        <v>669</v>
      </c>
    </row>
    <row r="4" spans="1:4" ht="14.65" thickBot="1" x14ac:dyDescent="0.5">
      <c r="A4" s="238" t="s">
        <v>63</v>
      </c>
      <c r="B4" s="239">
        <v>198</v>
      </c>
      <c r="C4" s="240">
        <v>0.18</v>
      </c>
      <c r="D4" s="241">
        <v>754</v>
      </c>
    </row>
    <row r="5" spans="1:4" ht="14.65" thickBot="1" x14ac:dyDescent="0.5">
      <c r="A5" s="238" t="s">
        <v>64</v>
      </c>
      <c r="B5" s="239">
        <v>427</v>
      </c>
      <c r="C5" s="240">
        <v>0.18</v>
      </c>
      <c r="D5" s="241">
        <v>638</v>
      </c>
    </row>
    <row r="6" spans="1:4" ht="14.65" thickBot="1" x14ac:dyDescent="0.5">
      <c r="A6" s="238" t="s">
        <v>65</v>
      </c>
      <c r="B6" s="242">
        <v>14211</v>
      </c>
      <c r="C6" s="240">
        <v>0.16</v>
      </c>
      <c r="D6" s="241">
        <v>533</v>
      </c>
    </row>
    <row r="7" spans="1:4" ht="14.65" thickBot="1" x14ac:dyDescent="0.5">
      <c r="A7" s="238" t="s">
        <v>66</v>
      </c>
      <c r="B7" s="242">
        <v>2355</v>
      </c>
      <c r="C7" s="240">
        <v>0.2</v>
      </c>
      <c r="D7" s="241">
        <v>718</v>
      </c>
    </row>
    <row r="8" spans="1:4" ht="14.65" thickBot="1" x14ac:dyDescent="0.5">
      <c r="A8" s="238" t="s">
        <v>67</v>
      </c>
      <c r="B8" s="242">
        <v>1543</v>
      </c>
      <c r="C8" s="240">
        <v>0.11</v>
      </c>
      <c r="D8" s="241">
        <v>589</v>
      </c>
    </row>
    <row r="9" spans="1:4" ht="14.65" thickBot="1" x14ac:dyDescent="0.5">
      <c r="A9" s="238" t="s">
        <v>5</v>
      </c>
      <c r="B9" s="242">
        <v>20346</v>
      </c>
      <c r="C9" s="240">
        <v>0.16</v>
      </c>
      <c r="D9" s="241">
        <v>621</v>
      </c>
    </row>
    <row r="11" spans="1:4" x14ac:dyDescent="0.45">
      <c r="A11" s="243" t="s">
        <v>643</v>
      </c>
      <c r="B11" s="102"/>
      <c r="C11" s="10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Figure 3.1</vt:lpstr>
      <vt:lpstr>Figure 3.2 </vt:lpstr>
      <vt:lpstr>Figure 3.3</vt:lpstr>
      <vt:lpstr>Figure 3.4</vt:lpstr>
      <vt:lpstr>Table 3.1</vt:lpstr>
      <vt:lpstr>Table 3.2 and 3.3</vt:lpstr>
      <vt:lpstr>Figure 3.5 </vt:lpstr>
      <vt:lpstr>Figure 3.6</vt:lpstr>
      <vt:lpstr>Table 3.4</vt:lpstr>
      <vt:lpstr>Figure 3.7</vt:lpstr>
      <vt:lpstr>Table 3.5</vt:lpstr>
      <vt:lpstr>Table 3.6</vt:lpstr>
      <vt:lpstr>Figure 3.8</vt:lpstr>
      <vt:lpstr>Figure 3.9</vt:lpstr>
      <vt:lpstr>Figure 3.10</vt:lpstr>
      <vt:lpstr>Figure 3.11</vt:lpstr>
      <vt:lpstr>Figure 3.12</vt:lpstr>
      <vt:lpstr>Figure 3.13</vt:lpstr>
      <vt:lpstr>Figure 3.14</vt:lpstr>
      <vt:lpstr>Figure 3.15</vt:lpstr>
      <vt:lpstr>Table 3.7</vt:lpstr>
      <vt:lpstr>Figure 3.16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Hermanson, Lori</dc:creator>
  <cp:lastModifiedBy>Brandon, Annette</cp:lastModifiedBy>
  <dcterms:created xsi:type="dcterms:W3CDTF">2021-08-04T22:33:23Z</dcterms:created>
  <dcterms:modified xsi:type="dcterms:W3CDTF">2021-09-30T23:53:43Z</dcterms:modified>
</cp:coreProperties>
</file>