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1\2021 WA Clean Energy Implementation Plan (CEIP) (UE-210628)\CEIP Document Final Draft 10.01.2021\Appendix E- CBI\"/>
    </mc:Choice>
  </mc:AlternateContent>
  <xr:revisionPtr revIDLastSave="0" documentId="13_ncr:1_{179D0F44-6C15-4E7F-873D-C18AB6D26233}" xr6:coauthVersionLast="45" xr6:coauthVersionMax="45" xr10:uidLastSave="{00000000-0000-0000-0000-000000000000}"/>
  <bookViews>
    <workbookView xWindow="-120" yWindow="-120" windowWidth="29040" windowHeight="15990" xr2:uid="{7AFAA7E3-936C-4355-91F0-CD47BC51CD23}"/>
  </bookViews>
  <sheets>
    <sheet name="Generation vs Load Estimat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9" i="1" l="1"/>
  <c r="B35" i="1"/>
  <c r="F58" i="1"/>
  <c r="D58" i="1"/>
  <c r="C58" i="1"/>
  <c r="B58" i="1"/>
  <c r="F57" i="1"/>
  <c r="D57" i="1"/>
  <c r="C57" i="1"/>
  <c r="B57" i="1"/>
  <c r="F56" i="1"/>
  <c r="D56" i="1"/>
  <c r="C56" i="1"/>
  <c r="B56" i="1"/>
  <c r="F55" i="1"/>
  <c r="D55" i="1"/>
  <c r="C55" i="1"/>
  <c r="B55" i="1"/>
  <c r="F54" i="1"/>
  <c r="D54" i="1"/>
  <c r="C54" i="1"/>
  <c r="B54" i="1"/>
  <c r="F53" i="1"/>
  <c r="D53" i="1"/>
  <c r="C53" i="1"/>
  <c r="B53" i="1"/>
  <c r="F52" i="1"/>
  <c r="E52" i="1"/>
  <c r="D52" i="1"/>
  <c r="C52" i="1"/>
  <c r="B52" i="1"/>
  <c r="F51" i="1"/>
  <c r="E51" i="1"/>
  <c r="D51" i="1"/>
  <c r="C51" i="1"/>
  <c r="F50" i="1"/>
  <c r="E50" i="1"/>
  <c r="D50" i="1"/>
  <c r="C50" i="1"/>
  <c r="B50" i="1"/>
  <c r="F49" i="1"/>
  <c r="E49" i="1"/>
  <c r="D49" i="1"/>
  <c r="C49" i="1"/>
  <c r="B49" i="1"/>
  <c r="F48" i="1"/>
  <c r="E48" i="1"/>
  <c r="D48" i="1"/>
  <c r="C48" i="1"/>
  <c r="B48" i="1"/>
  <c r="L37" i="1"/>
  <c r="K37" i="1"/>
  <c r="J37" i="1"/>
  <c r="I37" i="1"/>
  <c r="E37" i="1"/>
  <c r="D37" i="1"/>
  <c r="C37" i="1"/>
  <c r="B37" i="1"/>
  <c r="H37" i="1" s="1"/>
  <c r="L36" i="1"/>
  <c r="K36" i="1"/>
  <c r="J36" i="1"/>
  <c r="I36" i="1"/>
  <c r="H36" i="1"/>
  <c r="I35" i="1"/>
  <c r="C35" i="1"/>
  <c r="C39" i="1" s="1"/>
  <c r="L34" i="1"/>
  <c r="K34" i="1"/>
  <c r="J34" i="1"/>
  <c r="I34" i="1"/>
  <c r="H34" i="1"/>
  <c r="L33" i="1"/>
  <c r="K33" i="1"/>
  <c r="J33" i="1"/>
  <c r="I33" i="1"/>
  <c r="H33" i="1"/>
  <c r="L32" i="1"/>
  <c r="K32" i="1"/>
  <c r="J32" i="1"/>
  <c r="I32" i="1"/>
  <c r="H32" i="1"/>
  <c r="L31" i="1"/>
  <c r="K31" i="1"/>
  <c r="J31" i="1"/>
  <c r="I31" i="1"/>
  <c r="H31" i="1"/>
  <c r="L30" i="1"/>
  <c r="K30" i="1"/>
  <c r="J30" i="1"/>
  <c r="I30" i="1"/>
  <c r="H30" i="1"/>
  <c r="L29" i="1"/>
  <c r="K29" i="1"/>
  <c r="J29" i="1"/>
  <c r="I29" i="1"/>
  <c r="H29" i="1"/>
  <c r="L28" i="1"/>
  <c r="K28" i="1"/>
  <c r="J28" i="1"/>
  <c r="I28" i="1"/>
  <c r="H28" i="1"/>
  <c r="L27" i="1"/>
  <c r="K27" i="1"/>
  <c r="J27" i="1"/>
  <c r="I27" i="1"/>
  <c r="H27" i="1"/>
  <c r="L26" i="1"/>
  <c r="K26" i="1"/>
  <c r="J26" i="1"/>
  <c r="I26" i="1"/>
  <c r="H26" i="1"/>
  <c r="L25" i="1"/>
  <c r="K25" i="1"/>
  <c r="J25" i="1"/>
  <c r="I25" i="1"/>
  <c r="H25" i="1"/>
  <c r="L24" i="1"/>
  <c r="K24" i="1"/>
  <c r="J24" i="1"/>
  <c r="I24" i="1"/>
  <c r="H24" i="1"/>
  <c r="L23" i="1"/>
  <c r="K23" i="1"/>
  <c r="J23" i="1"/>
  <c r="I23" i="1"/>
  <c r="H23" i="1"/>
  <c r="L22" i="1"/>
  <c r="K22" i="1"/>
  <c r="J22" i="1"/>
  <c r="I22" i="1"/>
  <c r="H22" i="1"/>
  <c r="L21" i="1"/>
  <c r="K21" i="1"/>
  <c r="J21" i="1"/>
  <c r="I21" i="1"/>
  <c r="H21" i="1"/>
  <c r="L20" i="1"/>
  <c r="K20" i="1"/>
  <c r="J20" i="1"/>
  <c r="I20" i="1"/>
  <c r="H20" i="1"/>
  <c r="L19" i="1"/>
  <c r="K19" i="1"/>
  <c r="J19" i="1"/>
  <c r="I19" i="1"/>
  <c r="H19" i="1"/>
  <c r="L18" i="1"/>
  <c r="K18" i="1"/>
  <c r="J18" i="1"/>
  <c r="I18" i="1"/>
  <c r="H18" i="1"/>
  <c r="J17" i="1"/>
  <c r="I17" i="1"/>
  <c r="H17" i="1"/>
  <c r="F17" i="1"/>
  <c r="F35" i="1" s="1"/>
  <c r="E17" i="1"/>
  <c r="E35" i="1" s="1"/>
  <c r="D17" i="1"/>
  <c r="D35" i="1" s="1"/>
  <c r="C17" i="1"/>
  <c r="B17" i="1"/>
  <c r="L16" i="1"/>
  <c r="K16" i="1"/>
  <c r="J16" i="1"/>
  <c r="I16" i="1"/>
  <c r="H16" i="1"/>
  <c r="L15" i="1"/>
  <c r="K15" i="1"/>
  <c r="J15" i="1"/>
  <c r="I15" i="1"/>
  <c r="H15" i="1"/>
  <c r="L14" i="1"/>
  <c r="K14" i="1"/>
  <c r="J14" i="1"/>
  <c r="I14" i="1"/>
  <c r="H14" i="1"/>
  <c r="L13" i="1"/>
  <c r="K13" i="1"/>
  <c r="J13" i="1"/>
  <c r="I13" i="1"/>
  <c r="H13" i="1"/>
  <c r="L12" i="1"/>
  <c r="K12" i="1"/>
  <c r="J12" i="1"/>
  <c r="I12" i="1"/>
  <c r="H12" i="1"/>
  <c r="L11" i="1"/>
  <c r="K11" i="1"/>
  <c r="J11" i="1"/>
  <c r="I11" i="1"/>
  <c r="H11" i="1"/>
  <c r="L10" i="1"/>
  <c r="K10" i="1"/>
  <c r="J10" i="1"/>
  <c r="I10" i="1"/>
  <c r="H10" i="1"/>
  <c r="L9" i="1"/>
  <c r="K9" i="1"/>
  <c r="J9" i="1"/>
  <c r="I9" i="1"/>
  <c r="H9" i="1"/>
  <c r="L8" i="1"/>
  <c r="K8" i="1"/>
  <c r="J8" i="1"/>
  <c r="I8" i="1"/>
  <c r="H8" i="1"/>
  <c r="L7" i="1"/>
  <c r="K7" i="1"/>
  <c r="J7" i="1"/>
  <c r="I7" i="1"/>
  <c r="H7" i="1"/>
  <c r="L6" i="1"/>
  <c r="K6" i="1"/>
  <c r="J6" i="1"/>
  <c r="I6" i="1"/>
  <c r="H6" i="1"/>
  <c r="L5" i="1"/>
  <c r="K5" i="1"/>
  <c r="J5" i="1"/>
  <c r="I5" i="1"/>
  <c r="H5" i="1"/>
  <c r="H35" i="1" l="1"/>
  <c r="J35" i="1"/>
  <c r="D39" i="1"/>
  <c r="E39" i="1"/>
  <c r="K35" i="1"/>
  <c r="F39" i="1"/>
  <c r="L35" i="1"/>
  <c r="G39" i="1"/>
  <c r="K17" i="1"/>
  <c r="L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Hermanson, Lori</author>
  </authors>
  <commentList>
    <comment ref="F12" authorId="0" shapeId="0" xr:uid="{E7AC3F50-1F02-44FA-BFFD-5670CC15DCDC}">
      <text>
        <r>
          <rPr>
            <b/>
            <sz val="9"/>
            <color indexed="81"/>
            <rFont val="Tahoma"/>
            <family val="2"/>
          </rPr>
          <t>Hermanson, Lori:</t>
        </r>
        <r>
          <rPr>
            <sz val="9"/>
            <color indexed="81"/>
            <rFont val="Tahoma"/>
            <family val="2"/>
          </rPr>
          <t xml:space="preserve">
lower gen due to a suspended outage
</t>
        </r>
      </text>
    </comment>
    <comment ref="A17" authorId="0" shapeId="0" xr:uid="{FDA308F5-1637-4F57-A545-14769CEEE129}">
      <text>
        <r>
          <rPr>
            <b/>
            <sz val="9"/>
            <color indexed="81"/>
            <rFont val="Tahoma"/>
            <family val="2"/>
          </rPr>
          <t>Hermanson, Lori:</t>
        </r>
        <r>
          <rPr>
            <sz val="9"/>
            <color indexed="81"/>
            <rFont val="Tahoma"/>
            <family val="2"/>
          </rPr>
          <t xml:space="preserve">
net of douglas exchange sale
</t>
        </r>
      </text>
    </comment>
    <comment ref="E37" authorId="0" shapeId="0" xr:uid="{4E39A516-235D-4B77-87B6-DFAB0AE21B8E}">
      <text>
        <r>
          <rPr>
            <b/>
            <sz val="9"/>
            <color indexed="81"/>
            <rFont val="Tahoma"/>
            <family val="2"/>
          </rPr>
          <t>Hermanson, Lori:</t>
        </r>
        <r>
          <rPr>
            <sz val="9"/>
            <color indexed="81"/>
            <rFont val="Tahoma"/>
            <family val="2"/>
          </rPr>
          <t xml:space="preserve">
from March 2019 - CW is included in native load where previously it wasn't included so we added it in</t>
        </r>
      </text>
    </comment>
  </commentList>
</comments>
</file>

<file path=xl/sharedStrings.xml><?xml version="1.0" encoding="utf-8"?>
<sst xmlns="http://schemas.openxmlformats.org/spreadsheetml/2006/main" count="52" uniqueCount="52">
  <si>
    <t>Percent of generation located in WA state of directly connected to Avista transmission (MWh)</t>
  </si>
  <si>
    <t>Equity Area: Energy Security</t>
  </si>
  <si>
    <t>aMW (check)</t>
  </si>
  <si>
    <t>WA Gen/Connected</t>
  </si>
  <si>
    <t>Little Falls</t>
  </si>
  <si>
    <t>Percent of Generation Located in Washington or Connected to Avista Transmission</t>
  </si>
  <si>
    <t>Lancaster</t>
  </si>
  <si>
    <t>Nine Mile</t>
  </si>
  <si>
    <t>Long Lake</t>
  </si>
  <si>
    <t>Upper Falls</t>
  </si>
  <si>
    <t>Monroe Street</t>
  </si>
  <si>
    <t>Northeast</t>
  </si>
  <si>
    <t>Kettle Falls</t>
  </si>
  <si>
    <t>Kettle Falls CT</t>
  </si>
  <si>
    <t>Boulder Park</t>
  </si>
  <si>
    <t>Upriver (net of load)</t>
  </si>
  <si>
    <t>Waste to Energy</t>
  </si>
  <si>
    <t>Mid-C Generation</t>
  </si>
  <si>
    <t>Adams-Nielson</t>
  </si>
  <si>
    <t>Rattlesnake Flat</t>
  </si>
  <si>
    <t>Palouse Wind</t>
  </si>
  <si>
    <t>Meyers Falls</t>
  </si>
  <si>
    <t>Deep Creek</t>
  </si>
  <si>
    <t>Sheep Creek</t>
  </si>
  <si>
    <t>Phillips Ranch</t>
  </si>
  <si>
    <t>Noxon</t>
  </si>
  <si>
    <t>Cabinet</t>
  </si>
  <si>
    <t>Post Falls</t>
  </si>
  <si>
    <t>Clearwater Paper (gen)</t>
  </si>
  <si>
    <t>John Day</t>
  </si>
  <si>
    <t>Jim Ford</t>
  </si>
  <si>
    <t>Clark Fork/Jim White</t>
  </si>
  <si>
    <t>Plummer Saw Mill/Simson</t>
  </si>
  <si>
    <t>Spokane County Digester</t>
  </si>
  <si>
    <t>Total WA Generation</t>
  </si>
  <si>
    <t>Native Load</t>
  </si>
  <si>
    <t>avg</t>
  </si>
  <si>
    <t>Retail Sales (from I-937 rpts)</t>
  </si>
  <si>
    <t>PT ratios (from I-937 rpt)</t>
  </si>
  <si>
    <t>BPA</t>
  </si>
  <si>
    <t>Chelan PUD</t>
  </si>
  <si>
    <t>Douglas PUD</t>
  </si>
  <si>
    <t>Grant PUD</t>
  </si>
  <si>
    <t>Okanogan PUD</t>
  </si>
  <si>
    <t>Pend Oreille PUD</t>
  </si>
  <si>
    <t>Puget Sound Energy</t>
  </si>
  <si>
    <t>Seattle City Light</t>
  </si>
  <si>
    <t>Snohomish PUD</t>
  </si>
  <si>
    <t>Tacoma Power</t>
  </si>
  <si>
    <t>The Energy Authority</t>
  </si>
  <si>
    <t>Percent of Gen in WA and/or Connected</t>
  </si>
  <si>
    <t>Additional informatin: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</si>
</sst>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ck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3" fontId="0" fillId="0" borderId="0" xfId="1" applyNumberFormat="1" applyFont="1"/>
    <xf numFmtId="164" fontId="0" fillId="0" borderId="0" xfId="1" applyNumberFormat="1" applyFont="1"/>
    <xf numFmtId="3" fontId="0" fillId="0" borderId="0" xfId="0" applyNumberFormat="1"/>
    <xf numFmtId="3" fontId="0" fillId="0" borderId="0" xfId="1" applyNumberFormat="1" applyFont="1" applyFill="1"/>
    <xf numFmtId="165" fontId="0" fillId="0" borderId="0" xfId="2" applyNumberFormat="1" applyFont="1"/>
    <xf numFmtId="165" fontId="0" fillId="0" borderId="0" xfId="0" applyNumberFormat="1"/>
    <xf numFmtId="0" fontId="0" fillId="0" borderId="1" xfId="0" applyBorder="1"/>
    <xf numFmtId="10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'Generation vs Load Estimates'!$A$39</c:f>
              <c:strCache>
                <c:ptCount val="1"/>
                <c:pt idx="0">
                  <c:v>Percent of Gen in WA and/or Connected</c:v>
                </c:pt>
              </c:strCache>
            </c:strRef>
          </c:tx>
          <c:spPr>
            <a:solidFill>
              <a:srgbClr val="0076B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'Generation vs Load Estimates'!$B$4:$F$4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'Generation vs Load Estimates'!$B$39:$F$39</c:f>
              <c:numCache>
                <c:formatCode>0.0%</c:formatCode>
                <c:ptCount val="5"/>
                <c:pt idx="0">
                  <c:v>0.77793130293901391</c:v>
                </c:pt>
                <c:pt idx="1">
                  <c:v>0.78845322607331358</c:v>
                </c:pt>
                <c:pt idx="2">
                  <c:v>0.83680330310330064</c:v>
                </c:pt>
                <c:pt idx="3">
                  <c:v>0.80122200554974043</c:v>
                </c:pt>
                <c:pt idx="4">
                  <c:v>0.78225909581088893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9-4CE6-A3B5-ADEFD0B6A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9600048"/>
        <c:axId val="888618752"/>
      </c:barChart>
      <c:catAx>
        <c:axId val="49960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8618752"/>
        <c:crosses val="autoZero"/>
        <c:auto val="1"/>
        <c:lblAlgn val="ctr"/>
        <c:lblOffset val="100"/>
        <c:noMultiLvlLbl val="0"/>
      </c:catAx>
      <c:valAx>
        <c:axId val="888618752"/>
        <c:scaling>
          <c:orientation val="minMax"/>
          <c:max val="1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960004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255270</xdr:colOff>
      <xdr:row>6</xdr:row>
      <xdr:rowOff>40005</xdr:rowOff>
    </xdr:from>
    <xdr:to>
      <xdr:col>21</xdr:col>
      <xdr:colOff>85725</xdr:colOff>
      <xdr:row>21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4344C8-4E5B-479C-AE75-6F0E4F389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2021%20WA%20Clean%20Energy%20Implementation%20Plan%20(CEIP)%20(UE-210628)/CEIP%20Document%20Final%20Draft%2010.01.2021/Appendix%20K-%20Figures%20&amp;%20Tables/Chapter%203%20Figures%20%20Tables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igure 3.1"/>
      <sheetName val="Figure 3.2 "/>
      <sheetName val="Figure 3.3"/>
      <sheetName val="Table 3.1"/>
      <sheetName val="Table 3.2 and 3.3"/>
      <sheetName val="Table 3.4"/>
      <sheetName val="Figure 3.4"/>
      <sheetName val="Figure 3.5"/>
      <sheetName val="Figure 3.6"/>
      <sheetName val="Figure 3.7"/>
      <sheetName val="Table 3.6"/>
      <sheetName val="Figure 3.8"/>
      <sheetName val="Figure 3.9"/>
      <sheetName val="Figure 3.10"/>
      <sheetName val="Figure 3.11"/>
      <sheetName val="Figure 3.12"/>
      <sheetName val="Figure 3.13"/>
      <sheetName val="Table 3.7"/>
      <sheetName val="Figure 3.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B4">
            <v>2016</v>
          </cell>
          <cell r="C4">
            <v>2017</v>
          </cell>
          <cell r="D4">
            <v>2018</v>
          </cell>
          <cell r="E4">
            <v>2019</v>
          </cell>
          <cell r="F4">
            <v>2020</v>
          </cell>
        </row>
        <row r="39">
          <cell r="A39" t="str">
            <v>Percent of Gen in WA</v>
          </cell>
          <cell r="B39">
            <v>0.77793130293901391</v>
          </cell>
          <cell r="C39">
            <v>0.78845322607331358</v>
          </cell>
          <cell r="D39">
            <v>0.83680330310330064</v>
          </cell>
          <cell r="E39">
            <v>0.80122200554974043</v>
          </cell>
          <cell r="F39">
            <v>0.78225909581088893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985D1-B83F-4050-AE62-4F7E07A047B5}">
  <dimension ref="A1:N58"/>
  <sheetViews>
    <sheetView tabSelected="1" workbookViewId="0">
      <selection activeCell="B16" sqref="B16"/>
    </sheetView>
  </sheetViews>
  <sheetFormatPr defaultRowHeight="15" x14ac:dyDescent="0.25"/>
  <cols>
    <col min="1" max="1" width="45.7109375" customWidth="1"/>
    <col min="2" max="2" width="11.140625" bestFit="1" customWidth="1"/>
    <col min="3" max="3" width="11.42578125" bestFit="1" customWidth="1"/>
    <col min="4" max="5" width="10.85546875" bestFit="1" customWidth="1"/>
    <col min="6" max="6" width="11.42578125" bestFit="1" customWidth="1"/>
    <col min="7" max="7" width="10.5703125" bestFit="1" customWidth="1"/>
    <col min="8" max="10" width="8.85546875" customWidth="1"/>
  </cols>
  <sheetData>
    <row r="1" spans="1:14" x14ac:dyDescent="0.25">
      <c r="A1" s="1" t="s">
        <v>0</v>
      </c>
    </row>
    <row r="2" spans="1:14" x14ac:dyDescent="0.25">
      <c r="A2" t="s">
        <v>1</v>
      </c>
      <c r="H2" t="s">
        <v>2</v>
      </c>
    </row>
    <row r="4" spans="1:14" x14ac:dyDescent="0.25">
      <c r="A4" t="s">
        <v>3</v>
      </c>
      <c r="B4" s="2">
        <v>2016</v>
      </c>
      <c r="C4" s="2">
        <v>2017</v>
      </c>
      <c r="D4" s="2">
        <v>2018</v>
      </c>
      <c r="E4" s="2">
        <v>2019</v>
      </c>
      <c r="F4" s="2">
        <v>2020</v>
      </c>
      <c r="H4" s="2">
        <v>2016</v>
      </c>
      <c r="I4" s="2">
        <v>2017</v>
      </c>
      <c r="J4" s="2">
        <v>2018</v>
      </c>
      <c r="K4" s="2">
        <v>2019</v>
      </c>
      <c r="L4" s="2">
        <v>2020</v>
      </c>
    </row>
    <row r="5" spans="1:14" x14ac:dyDescent="0.25">
      <c r="A5" t="s">
        <v>4</v>
      </c>
      <c r="B5" s="3">
        <v>182385</v>
      </c>
      <c r="C5" s="3">
        <v>183422</v>
      </c>
      <c r="D5" s="3">
        <v>166423</v>
      </c>
      <c r="E5" s="3">
        <v>163998</v>
      </c>
      <c r="F5" s="3">
        <v>212533</v>
      </c>
      <c r="G5" s="4"/>
      <c r="H5" s="4">
        <f>B5/8784</f>
        <v>20.763319672131146</v>
      </c>
      <c r="I5" s="4">
        <f>C5/8760</f>
        <v>20.938584474885843</v>
      </c>
      <c r="J5" s="4">
        <f>D5/8760</f>
        <v>18.998059360730593</v>
      </c>
      <c r="K5" s="4">
        <f>E5/8760</f>
        <v>18.721232876712328</v>
      </c>
      <c r="L5" s="4">
        <f>F5/8784</f>
        <v>24.195469034608379</v>
      </c>
      <c r="N5" t="s">
        <v>5</v>
      </c>
    </row>
    <row r="6" spans="1:14" x14ac:dyDescent="0.25">
      <c r="A6" t="s">
        <v>6</v>
      </c>
      <c r="B6" s="3">
        <v>1307455</v>
      </c>
      <c r="C6" s="3">
        <v>1327246</v>
      </c>
      <c r="D6" s="3">
        <v>1591393</v>
      </c>
      <c r="E6" s="3">
        <v>1798155</v>
      </c>
      <c r="F6" s="3">
        <v>1684827</v>
      </c>
      <c r="G6" s="4"/>
      <c r="H6" s="4">
        <f t="shared" ref="H6:H37" si="0">B6/8784</f>
        <v>148.8450591985428</v>
      </c>
      <c r="I6" s="4">
        <f t="shared" ref="I6:K37" si="1">C6/8760</f>
        <v>151.512100456621</v>
      </c>
      <c r="J6" s="4">
        <f t="shared" si="1"/>
        <v>181.66586757990868</v>
      </c>
      <c r="K6" s="4">
        <f t="shared" si="1"/>
        <v>205.26883561643837</v>
      </c>
      <c r="L6" s="4">
        <f t="shared" ref="L6:L37" si="2">F6/8784</f>
        <v>191.80635245901638</v>
      </c>
    </row>
    <row r="7" spans="1:14" x14ac:dyDescent="0.25">
      <c r="A7" t="s">
        <v>7</v>
      </c>
      <c r="B7" s="3">
        <v>108780</v>
      </c>
      <c r="C7" s="3">
        <v>114367</v>
      </c>
      <c r="D7" s="3">
        <v>143308</v>
      </c>
      <c r="E7" s="3">
        <v>119575</v>
      </c>
      <c r="F7" s="3">
        <v>117927</v>
      </c>
      <c r="G7" s="4"/>
      <c r="H7" s="4">
        <f t="shared" si="0"/>
        <v>12.383879781420765</v>
      </c>
      <c r="I7" s="4">
        <f t="shared" si="1"/>
        <v>13.055593607305935</v>
      </c>
      <c r="J7" s="4">
        <f t="shared" si="1"/>
        <v>16.359360730593608</v>
      </c>
      <c r="K7" s="4">
        <f t="shared" si="1"/>
        <v>13.650114155251142</v>
      </c>
      <c r="L7" s="4">
        <f t="shared" si="2"/>
        <v>13.425204918032787</v>
      </c>
    </row>
    <row r="8" spans="1:14" x14ac:dyDescent="0.25">
      <c r="A8" t="s">
        <v>8</v>
      </c>
      <c r="B8" s="3">
        <v>525331</v>
      </c>
      <c r="C8" s="3">
        <v>508341</v>
      </c>
      <c r="D8" s="3">
        <v>505089</v>
      </c>
      <c r="E8" s="3">
        <v>438456</v>
      </c>
      <c r="F8" s="3">
        <v>502673</v>
      </c>
      <c r="G8" s="4"/>
      <c r="H8" s="4">
        <f t="shared" si="0"/>
        <v>59.805441712204008</v>
      </c>
      <c r="I8" s="4">
        <f t="shared" si="1"/>
        <v>58.029794520547945</v>
      </c>
      <c r="J8" s="4">
        <f t="shared" si="1"/>
        <v>57.658561643835618</v>
      </c>
      <c r="K8" s="4">
        <f t="shared" si="1"/>
        <v>50.052054794520551</v>
      </c>
      <c r="L8" s="4">
        <f t="shared" si="2"/>
        <v>57.225979052823313</v>
      </c>
    </row>
    <row r="9" spans="1:14" x14ac:dyDescent="0.25">
      <c r="A9" t="s">
        <v>9</v>
      </c>
      <c r="B9" s="3">
        <v>62708</v>
      </c>
      <c r="C9" s="3">
        <v>68396</v>
      </c>
      <c r="D9" s="3">
        <v>61161</v>
      </c>
      <c r="E9" s="3">
        <v>66538</v>
      </c>
      <c r="F9" s="3">
        <v>58141</v>
      </c>
      <c r="G9" s="4"/>
      <c r="H9" s="4">
        <f t="shared" si="0"/>
        <v>7.1388888888888893</v>
      </c>
      <c r="I9" s="4">
        <f t="shared" si="1"/>
        <v>7.8077625570776252</v>
      </c>
      <c r="J9" s="4">
        <f t="shared" si="1"/>
        <v>6.9818493150684935</v>
      </c>
      <c r="K9" s="4">
        <f t="shared" si="1"/>
        <v>7.5956621004566207</v>
      </c>
      <c r="L9" s="4">
        <f t="shared" si="2"/>
        <v>6.6189663023679417</v>
      </c>
    </row>
    <row r="10" spans="1:14" x14ac:dyDescent="0.25">
      <c r="A10" t="s">
        <v>10</v>
      </c>
      <c r="B10" s="5">
        <v>96851</v>
      </c>
      <c r="C10" s="3">
        <v>95459</v>
      </c>
      <c r="D10" s="3">
        <v>81033</v>
      </c>
      <c r="E10" s="3">
        <v>98076</v>
      </c>
      <c r="F10" s="3">
        <v>83100</v>
      </c>
      <c r="G10" s="4"/>
      <c r="H10" s="4">
        <f t="shared" si="0"/>
        <v>11.025842440801457</v>
      </c>
      <c r="I10" s="4">
        <f t="shared" si="1"/>
        <v>10.89714611872146</v>
      </c>
      <c r="J10" s="4">
        <f t="shared" si="1"/>
        <v>9.250342465753425</v>
      </c>
      <c r="K10" s="4">
        <f t="shared" si="1"/>
        <v>11.195890410958905</v>
      </c>
      <c r="L10" s="4">
        <f t="shared" si="2"/>
        <v>9.4603825136612016</v>
      </c>
    </row>
    <row r="11" spans="1:14" x14ac:dyDescent="0.25">
      <c r="A11" t="s">
        <v>11</v>
      </c>
      <c r="B11" s="3">
        <v>1087</v>
      </c>
      <c r="C11" s="3">
        <v>390</v>
      </c>
      <c r="D11" s="3">
        <v>1515</v>
      </c>
      <c r="E11" s="3">
        <v>3459</v>
      </c>
      <c r="F11" s="3">
        <v>666</v>
      </c>
      <c r="G11" s="4"/>
      <c r="H11" s="4">
        <f t="shared" si="0"/>
        <v>0.12374772313296903</v>
      </c>
      <c r="I11" s="4">
        <f t="shared" si="1"/>
        <v>4.4520547945205477E-2</v>
      </c>
      <c r="J11" s="4">
        <f t="shared" si="1"/>
        <v>0.17294520547945205</v>
      </c>
      <c r="K11" s="4">
        <f t="shared" si="1"/>
        <v>0.39486301369863014</v>
      </c>
      <c r="L11" s="4">
        <f t="shared" si="2"/>
        <v>7.5819672131147542E-2</v>
      </c>
    </row>
    <row r="12" spans="1:14" x14ac:dyDescent="0.25">
      <c r="A12" t="s">
        <v>12</v>
      </c>
      <c r="B12" s="3">
        <v>341370</v>
      </c>
      <c r="C12" s="3">
        <v>290117</v>
      </c>
      <c r="D12" s="3">
        <v>336936</v>
      </c>
      <c r="E12" s="3">
        <v>316112</v>
      </c>
      <c r="F12" s="6">
        <v>264851</v>
      </c>
      <c r="G12" s="4"/>
      <c r="H12" s="4">
        <f t="shared" si="0"/>
        <v>38.86270491803279</v>
      </c>
      <c r="I12" s="4">
        <f t="shared" si="1"/>
        <v>33.118378995433787</v>
      </c>
      <c r="J12" s="4">
        <f t="shared" si="1"/>
        <v>38.463013698630135</v>
      </c>
      <c r="K12" s="4">
        <f t="shared" si="1"/>
        <v>36.085844748858449</v>
      </c>
      <c r="L12" s="4">
        <f t="shared" si="2"/>
        <v>30.151525500910747</v>
      </c>
    </row>
    <row r="13" spans="1:14" x14ac:dyDescent="0.25">
      <c r="A13" t="s">
        <v>13</v>
      </c>
      <c r="B13" s="3">
        <v>3468</v>
      </c>
      <c r="C13" s="3">
        <v>5000</v>
      </c>
      <c r="D13" s="3">
        <v>8118</v>
      </c>
      <c r="E13" s="3">
        <v>18274</v>
      </c>
      <c r="F13" s="3">
        <v>1235</v>
      </c>
      <c r="G13" s="4"/>
      <c r="H13" s="4">
        <f t="shared" si="0"/>
        <v>0.3948087431693989</v>
      </c>
      <c r="I13" s="4">
        <f t="shared" si="1"/>
        <v>0.57077625570776258</v>
      </c>
      <c r="J13" s="4">
        <f t="shared" si="1"/>
        <v>0.92671232876712328</v>
      </c>
      <c r="K13" s="4">
        <f t="shared" si="1"/>
        <v>2.0860730593607304</v>
      </c>
      <c r="L13" s="4">
        <f t="shared" si="2"/>
        <v>0.14059653916211293</v>
      </c>
    </row>
    <row r="14" spans="1:14" x14ac:dyDescent="0.25">
      <c r="A14" t="s">
        <v>14</v>
      </c>
      <c r="B14" s="3">
        <v>18358</v>
      </c>
      <c r="C14" s="3">
        <v>26649</v>
      </c>
      <c r="D14" s="3">
        <v>47931</v>
      </c>
      <c r="E14" s="3">
        <v>66910</v>
      </c>
      <c r="F14" s="3">
        <v>48140</v>
      </c>
      <c r="G14" s="4"/>
      <c r="H14" s="4">
        <f t="shared" si="0"/>
        <v>2.0899362477231329</v>
      </c>
      <c r="I14" s="4">
        <f t="shared" si="1"/>
        <v>3.0421232876712327</v>
      </c>
      <c r="J14" s="4">
        <f t="shared" si="1"/>
        <v>5.4715753424657532</v>
      </c>
      <c r="K14" s="4">
        <f t="shared" si="1"/>
        <v>7.6381278538812785</v>
      </c>
      <c r="L14" s="4">
        <f t="shared" si="2"/>
        <v>5.4804189435336976</v>
      </c>
    </row>
    <row r="15" spans="1:14" x14ac:dyDescent="0.25">
      <c r="A15" t="s">
        <v>15</v>
      </c>
      <c r="B15" s="3">
        <v>54960</v>
      </c>
      <c r="C15" s="3">
        <v>45390</v>
      </c>
      <c r="D15" s="3">
        <v>49931.000000000007</v>
      </c>
      <c r="E15" s="3">
        <v>36888</v>
      </c>
      <c r="F15" s="3">
        <v>47621</v>
      </c>
      <c r="G15" s="4"/>
      <c r="H15" s="4">
        <f t="shared" si="0"/>
        <v>6.2568306010928962</v>
      </c>
      <c r="I15" s="4">
        <f t="shared" si="1"/>
        <v>5.1815068493150687</v>
      </c>
      <c r="J15" s="4">
        <f t="shared" si="1"/>
        <v>5.6998858447488594</v>
      </c>
      <c r="K15" s="4">
        <f t="shared" si="1"/>
        <v>4.2109589041095887</v>
      </c>
      <c r="L15" s="4">
        <f t="shared" si="2"/>
        <v>5.4213342440801453</v>
      </c>
    </row>
    <row r="16" spans="1:14" x14ac:dyDescent="0.25">
      <c r="A16" t="s">
        <v>16</v>
      </c>
      <c r="B16" s="3">
        <v>122485</v>
      </c>
      <c r="C16" s="3">
        <v>115875</v>
      </c>
      <c r="D16" s="3">
        <v>123284</v>
      </c>
      <c r="E16" s="3">
        <v>121032</v>
      </c>
      <c r="F16" s="3">
        <v>125281</v>
      </c>
      <c r="G16" s="4"/>
      <c r="H16" s="4">
        <f t="shared" si="0"/>
        <v>13.9441029143898</v>
      </c>
      <c r="I16" s="4">
        <f t="shared" si="1"/>
        <v>13.227739726027398</v>
      </c>
      <c r="J16" s="4">
        <f t="shared" si="1"/>
        <v>14.073515981735159</v>
      </c>
      <c r="K16" s="4">
        <f t="shared" si="1"/>
        <v>13.816438356164383</v>
      </c>
      <c r="L16" s="4">
        <f t="shared" si="2"/>
        <v>14.262408925318761</v>
      </c>
    </row>
    <row r="17" spans="1:12" x14ac:dyDescent="0.25">
      <c r="A17" t="s">
        <v>17</v>
      </c>
      <c r="B17" s="3">
        <f>934235-77490</f>
        <v>856745</v>
      </c>
      <c r="C17" s="3">
        <f>948520-33795</f>
        <v>914725</v>
      </c>
      <c r="D17" s="3">
        <f>1021453-77315</f>
        <v>944138</v>
      </c>
      <c r="E17" s="3">
        <f>1027368-44295</f>
        <v>983073</v>
      </c>
      <c r="F17" s="3">
        <f>1275274-421632</f>
        <v>853642</v>
      </c>
      <c r="G17" s="4"/>
      <c r="H17" s="4">
        <f t="shared" si="0"/>
        <v>97.534722222222229</v>
      </c>
      <c r="I17" s="4">
        <f t="shared" si="1"/>
        <v>104.42066210045662</v>
      </c>
      <c r="J17" s="4">
        <f t="shared" si="1"/>
        <v>107.77831050228311</v>
      </c>
      <c r="K17" s="4">
        <f t="shared" si="1"/>
        <v>112.22294520547945</v>
      </c>
      <c r="L17" s="4">
        <f t="shared" si="2"/>
        <v>97.181466302367937</v>
      </c>
    </row>
    <row r="18" spans="1:12" x14ac:dyDescent="0.25">
      <c r="A18" t="s">
        <v>18</v>
      </c>
      <c r="B18" s="3">
        <v>0</v>
      </c>
      <c r="C18" s="3">
        <v>0</v>
      </c>
      <c r="D18" s="3">
        <v>1614</v>
      </c>
      <c r="E18" s="3">
        <v>42346</v>
      </c>
      <c r="F18" s="3">
        <v>45281</v>
      </c>
      <c r="G18" s="4"/>
      <c r="H18" s="4">
        <f t="shared" si="0"/>
        <v>0</v>
      </c>
      <c r="I18" s="4">
        <f t="shared" si="1"/>
        <v>0</v>
      </c>
      <c r="J18" s="4">
        <f t="shared" si="1"/>
        <v>0.18424657534246575</v>
      </c>
      <c r="K18" s="4">
        <f t="shared" si="1"/>
        <v>4.834018264840183</v>
      </c>
      <c r="L18" s="4">
        <f t="shared" si="2"/>
        <v>5.1549408014571947</v>
      </c>
    </row>
    <row r="19" spans="1:12" x14ac:dyDescent="0.25">
      <c r="A19" t="s">
        <v>19</v>
      </c>
      <c r="B19" s="3">
        <v>0</v>
      </c>
      <c r="C19" s="3">
        <v>0</v>
      </c>
      <c r="D19" s="3">
        <v>0</v>
      </c>
      <c r="E19" s="3">
        <v>0</v>
      </c>
      <c r="F19" s="3">
        <v>37157</v>
      </c>
      <c r="G19" s="4"/>
      <c r="H19" s="4">
        <f t="shared" si="0"/>
        <v>0</v>
      </c>
      <c r="I19" s="4">
        <f t="shared" si="1"/>
        <v>0</v>
      </c>
      <c r="J19" s="4">
        <f t="shared" si="1"/>
        <v>0</v>
      </c>
      <c r="K19" s="4">
        <f t="shared" si="1"/>
        <v>0</v>
      </c>
      <c r="L19" s="4">
        <f t="shared" si="2"/>
        <v>4.2300774134790524</v>
      </c>
    </row>
    <row r="20" spans="1:12" x14ac:dyDescent="0.25">
      <c r="A20" t="s">
        <v>20</v>
      </c>
      <c r="B20" s="3">
        <v>349771</v>
      </c>
      <c r="C20" s="3">
        <v>300411</v>
      </c>
      <c r="D20" s="3">
        <v>327172</v>
      </c>
      <c r="E20" s="3">
        <v>302136</v>
      </c>
      <c r="F20" s="3">
        <v>370142</v>
      </c>
      <c r="G20" s="4"/>
      <c r="H20" s="4">
        <f t="shared" si="0"/>
        <v>39.819102914389802</v>
      </c>
      <c r="I20" s="4">
        <f t="shared" si="1"/>
        <v>34.293493150684931</v>
      </c>
      <c r="J20" s="4">
        <f t="shared" si="1"/>
        <v>37.348401826484022</v>
      </c>
      <c r="K20" s="4">
        <f t="shared" si="1"/>
        <v>34.490410958904107</v>
      </c>
      <c r="L20" s="4">
        <f t="shared" si="2"/>
        <v>42.138205828779597</v>
      </c>
    </row>
    <row r="21" spans="1:12" x14ac:dyDescent="0.25">
      <c r="A21" t="s">
        <v>21</v>
      </c>
      <c r="B21" s="3">
        <v>10034.27</v>
      </c>
      <c r="C21" s="3">
        <v>11024.87</v>
      </c>
      <c r="D21" s="3">
        <v>10212.51</v>
      </c>
      <c r="E21" s="3">
        <v>9414.32</v>
      </c>
      <c r="F21" s="3">
        <v>11444.71</v>
      </c>
      <c r="G21" s="4"/>
      <c r="H21" s="4">
        <f t="shared" si="0"/>
        <v>1.142334927140255</v>
      </c>
      <c r="I21" s="4">
        <f t="shared" si="1"/>
        <v>1.2585468036529681</v>
      </c>
      <c r="J21" s="4">
        <f t="shared" si="1"/>
        <v>1.1658116438356165</v>
      </c>
      <c r="K21" s="4">
        <f t="shared" si="1"/>
        <v>1.0746940639269407</v>
      </c>
      <c r="L21" s="4">
        <f t="shared" si="2"/>
        <v>1.3029041438979962</v>
      </c>
    </row>
    <row r="22" spans="1:12" x14ac:dyDescent="0.25">
      <c r="A22" t="s">
        <v>22</v>
      </c>
      <c r="B22" s="5">
        <v>0</v>
      </c>
      <c r="C22" s="5">
        <v>121.44</v>
      </c>
      <c r="D22" s="5">
        <v>127.5</v>
      </c>
      <c r="E22" s="5">
        <v>139.08000000000001</v>
      </c>
      <c r="F22" s="5">
        <v>322.2</v>
      </c>
      <c r="G22" s="4"/>
      <c r="H22" s="4">
        <f t="shared" si="0"/>
        <v>0</v>
      </c>
      <c r="I22" s="4">
        <f t="shared" si="1"/>
        <v>1.3863013698630137E-2</v>
      </c>
      <c r="J22" s="4">
        <f t="shared" si="1"/>
        <v>1.4554794520547944E-2</v>
      </c>
      <c r="K22" s="4">
        <f t="shared" si="1"/>
        <v>1.5876712328767126E-2</v>
      </c>
      <c r="L22" s="4">
        <f t="shared" si="2"/>
        <v>3.6680327868852461E-2</v>
      </c>
    </row>
    <row r="23" spans="1:12" x14ac:dyDescent="0.25">
      <c r="A23" t="s">
        <v>23</v>
      </c>
      <c r="B23" s="5">
        <v>10607.07034</v>
      </c>
      <c r="C23" s="5">
        <v>7313.3421900000003</v>
      </c>
      <c r="D23" s="5">
        <v>6223.8453100000006</v>
      </c>
      <c r="E23" s="5">
        <v>6804.3608700000013</v>
      </c>
      <c r="F23" s="5">
        <v>8356.1369100000029</v>
      </c>
      <c r="G23" s="4"/>
      <c r="H23" s="4">
        <f t="shared" si="0"/>
        <v>1.2075444376138433</v>
      </c>
      <c r="I23" s="4">
        <f t="shared" si="1"/>
        <v>0.83485641438356173</v>
      </c>
      <c r="J23" s="4">
        <f t="shared" si="1"/>
        <v>0.71048462442922378</v>
      </c>
      <c r="K23" s="4">
        <f t="shared" si="1"/>
        <v>0.77675352397260289</v>
      </c>
      <c r="L23" s="4">
        <f t="shared" si="2"/>
        <v>0.95129063183060147</v>
      </c>
    </row>
    <row r="24" spans="1:12" x14ac:dyDescent="0.25">
      <c r="A24" t="s">
        <v>24</v>
      </c>
      <c r="B24" s="3">
        <v>42.408000000000001</v>
      </c>
      <c r="C24" s="3">
        <v>48.276000000000003</v>
      </c>
      <c r="D24" s="3">
        <v>56.042999999999999</v>
      </c>
      <c r="E24" s="3">
        <v>25.532</v>
      </c>
      <c r="F24" s="3">
        <v>26.538</v>
      </c>
      <c r="G24" s="4"/>
      <c r="H24" s="4">
        <f t="shared" si="0"/>
        <v>4.8278688524590165E-3</v>
      </c>
      <c r="I24" s="4">
        <f t="shared" si="1"/>
        <v>5.5109589041095891E-3</v>
      </c>
      <c r="J24" s="4">
        <f t="shared" si="1"/>
        <v>6.3976027397260275E-3</v>
      </c>
      <c r="K24" s="4">
        <f t="shared" si="1"/>
        <v>2.9146118721461189E-3</v>
      </c>
      <c r="L24" s="4">
        <f t="shared" si="2"/>
        <v>3.021174863387978E-3</v>
      </c>
    </row>
    <row r="25" spans="1:12" x14ac:dyDescent="0.25">
      <c r="A25" t="s">
        <v>25</v>
      </c>
      <c r="B25" s="5">
        <v>1695642</v>
      </c>
      <c r="C25" s="5">
        <v>1866144</v>
      </c>
      <c r="D25" s="5">
        <v>1840622</v>
      </c>
      <c r="E25" s="5">
        <v>1573513</v>
      </c>
      <c r="F25" s="5">
        <v>1596412</v>
      </c>
      <c r="G25" s="4"/>
      <c r="H25" s="4">
        <f t="shared" si="0"/>
        <v>193.03756830601094</v>
      </c>
      <c r="I25" s="4">
        <f t="shared" si="1"/>
        <v>213.03013698630136</v>
      </c>
      <c r="J25" s="4">
        <f t="shared" si="1"/>
        <v>210.11666666666667</v>
      </c>
      <c r="K25" s="4">
        <f t="shared" si="1"/>
        <v>179.62477168949772</v>
      </c>
      <c r="L25" s="4">
        <f t="shared" si="2"/>
        <v>181.74089253187614</v>
      </c>
    </row>
    <row r="26" spans="1:12" x14ac:dyDescent="0.25">
      <c r="A26" t="s">
        <v>26</v>
      </c>
      <c r="B26" s="5">
        <v>1075975</v>
      </c>
      <c r="C26" s="5">
        <v>1062811</v>
      </c>
      <c r="D26" s="5">
        <v>1159246</v>
      </c>
      <c r="E26" s="5">
        <v>991068</v>
      </c>
      <c r="F26" s="5">
        <v>1002706</v>
      </c>
      <c r="G26" s="4"/>
      <c r="H26" s="4">
        <f t="shared" si="0"/>
        <v>122.49260018214936</v>
      </c>
      <c r="I26" s="4">
        <f t="shared" si="1"/>
        <v>121.32545662100456</v>
      </c>
      <c r="J26" s="4">
        <f t="shared" si="1"/>
        <v>132.33401826484018</v>
      </c>
      <c r="K26" s="4">
        <f t="shared" si="1"/>
        <v>113.13561643835617</v>
      </c>
      <c r="L26" s="4">
        <f t="shared" si="2"/>
        <v>114.15141165755919</v>
      </c>
    </row>
    <row r="27" spans="1:12" x14ac:dyDescent="0.25">
      <c r="A27" t="s">
        <v>27</v>
      </c>
      <c r="B27" s="5">
        <v>88444</v>
      </c>
      <c r="C27" s="5">
        <v>79120</v>
      </c>
      <c r="D27" s="5">
        <v>72493</v>
      </c>
      <c r="E27" s="5">
        <v>68660</v>
      </c>
      <c r="F27" s="5">
        <v>77008</v>
      </c>
      <c r="G27" s="4"/>
      <c r="H27" s="4">
        <f t="shared" si="0"/>
        <v>10.068761384335154</v>
      </c>
      <c r="I27" s="4">
        <f t="shared" si="1"/>
        <v>9.031963470319635</v>
      </c>
      <c r="J27" s="4">
        <f t="shared" si="1"/>
        <v>8.275456621004567</v>
      </c>
      <c r="K27" s="4">
        <f t="shared" si="1"/>
        <v>7.8378995433789953</v>
      </c>
      <c r="L27" s="4">
        <f t="shared" si="2"/>
        <v>8.7668488160291442</v>
      </c>
    </row>
    <row r="28" spans="1:12" x14ac:dyDescent="0.25">
      <c r="A28" t="s">
        <v>28</v>
      </c>
      <c r="B28" s="5">
        <v>424645</v>
      </c>
      <c r="C28" s="5">
        <v>366998</v>
      </c>
      <c r="D28" s="5">
        <v>375387</v>
      </c>
      <c r="E28" s="5">
        <v>420916</v>
      </c>
      <c r="F28" s="5">
        <v>426954</v>
      </c>
      <c r="G28" s="4"/>
      <c r="H28" s="4">
        <f t="shared" si="0"/>
        <v>48.343010018214933</v>
      </c>
      <c r="I28" s="4">
        <f t="shared" si="1"/>
        <v>41.894748858447485</v>
      </c>
      <c r="J28" s="4">
        <f t="shared" si="1"/>
        <v>42.852397260273975</v>
      </c>
      <c r="K28" s="4">
        <f t="shared" si="1"/>
        <v>48.049771689497717</v>
      </c>
      <c r="L28" s="4">
        <f t="shared" si="2"/>
        <v>48.605874316939889</v>
      </c>
    </row>
    <row r="29" spans="1:12" x14ac:dyDescent="0.25">
      <c r="A29" t="s">
        <v>29</v>
      </c>
      <c r="B29" s="5">
        <v>2706.0070000000001</v>
      </c>
      <c r="C29" s="5">
        <v>3002.6950000000002</v>
      </c>
      <c r="D29" s="5">
        <v>2736.54</v>
      </c>
      <c r="E29" s="5">
        <v>2733.4229999999998</v>
      </c>
      <c r="F29" s="5">
        <v>2123.5189999999998</v>
      </c>
      <c r="G29" s="4"/>
      <c r="H29" s="4">
        <f t="shared" si="0"/>
        <v>0.30806090619307835</v>
      </c>
      <c r="I29" s="4">
        <f t="shared" si="1"/>
        <v>0.34277340182648403</v>
      </c>
      <c r="J29" s="4">
        <f t="shared" si="1"/>
        <v>0.31239041095890413</v>
      </c>
      <c r="K29" s="4">
        <f t="shared" si="1"/>
        <v>0.31203458904109588</v>
      </c>
      <c r="L29" s="4">
        <f t="shared" si="2"/>
        <v>0.24174852003642985</v>
      </c>
    </row>
    <row r="30" spans="1:12" x14ac:dyDescent="0.25">
      <c r="A30" t="s">
        <v>30</v>
      </c>
      <c r="B30" s="5">
        <v>3306.0117999999998</v>
      </c>
      <c r="C30" s="5">
        <v>4011.9097499999998</v>
      </c>
      <c r="D30" s="5">
        <v>4301.6366799999996</v>
      </c>
      <c r="E30" s="5">
        <v>3519.1000599999998</v>
      </c>
      <c r="F30" s="5">
        <v>4120.2670499999995</v>
      </c>
      <c r="G30" s="4"/>
      <c r="H30" s="4">
        <f t="shared" si="0"/>
        <v>0.37636746357012746</v>
      </c>
      <c r="I30" s="4">
        <f t="shared" si="1"/>
        <v>0.45798056506849311</v>
      </c>
      <c r="J30" s="4">
        <f t="shared" si="1"/>
        <v>0.49105441552511409</v>
      </c>
      <c r="K30" s="4">
        <f t="shared" si="1"/>
        <v>0.40172375114155251</v>
      </c>
      <c r="L30" s="4">
        <f t="shared" si="2"/>
        <v>0.46906501024590158</v>
      </c>
    </row>
    <row r="31" spans="1:12" x14ac:dyDescent="0.25">
      <c r="A31" t="s">
        <v>31</v>
      </c>
      <c r="B31" s="5">
        <v>1345.884</v>
      </c>
      <c r="C31" s="5">
        <v>1169.0654</v>
      </c>
      <c r="D31" s="5">
        <v>971.62030000000004</v>
      </c>
      <c r="E31" s="5">
        <v>876.25400000000013</v>
      </c>
      <c r="F31" s="5">
        <v>1053.6636000000001</v>
      </c>
      <c r="G31" s="4"/>
      <c r="H31" s="4">
        <f t="shared" si="0"/>
        <v>0.15321994535519126</v>
      </c>
      <c r="I31" s="4">
        <f t="shared" si="1"/>
        <v>0.13345495433789953</v>
      </c>
      <c r="J31" s="4">
        <f t="shared" si="1"/>
        <v>0.1109155593607306</v>
      </c>
      <c r="K31" s="4">
        <f t="shared" si="1"/>
        <v>0.10002899543378997</v>
      </c>
      <c r="L31" s="4">
        <f t="shared" si="2"/>
        <v>0.11995259562841531</v>
      </c>
    </row>
    <row r="32" spans="1:12" x14ac:dyDescent="0.25">
      <c r="A32" t="s">
        <v>32</v>
      </c>
      <c r="B32" s="5">
        <v>33199</v>
      </c>
      <c r="C32" s="5">
        <v>34298</v>
      </c>
      <c r="D32" s="5">
        <v>33180</v>
      </c>
      <c r="E32" s="5">
        <v>37288</v>
      </c>
      <c r="F32" s="5">
        <v>36523</v>
      </c>
      <c r="G32" s="4"/>
      <c r="H32" s="4">
        <f t="shared" si="0"/>
        <v>3.779485428051002</v>
      </c>
      <c r="I32" s="4">
        <f t="shared" si="1"/>
        <v>3.9152968036529678</v>
      </c>
      <c r="J32" s="4">
        <f t="shared" si="1"/>
        <v>3.7876712328767121</v>
      </c>
      <c r="K32" s="4">
        <f t="shared" si="1"/>
        <v>4.2566210045662096</v>
      </c>
      <c r="L32" s="4">
        <f t="shared" si="2"/>
        <v>4.1579007285974496</v>
      </c>
    </row>
    <row r="33" spans="1:12" x14ac:dyDescent="0.25">
      <c r="A33" t="s">
        <v>33</v>
      </c>
      <c r="B33" s="5">
        <v>991.76</v>
      </c>
      <c r="C33" s="5">
        <v>1190.48</v>
      </c>
      <c r="D33" s="5">
        <v>1271.44</v>
      </c>
      <c r="E33" s="5">
        <v>1239.81104</v>
      </c>
      <c r="F33" s="5">
        <v>1132.3599199999999</v>
      </c>
      <c r="G33" s="4"/>
      <c r="H33" s="4">
        <f t="shared" si="0"/>
        <v>0.11290528233151184</v>
      </c>
      <c r="I33" s="4">
        <f t="shared" si="1"/>
        <v>0.13589954337899543</v>
      </c>
      <c r="J33" s="4">
        <f t="shared" si="1"/>
        <v>0.14514155251141553</v>
      </c>
      <c r="K33" s="4">
        <f t="shared" si="1"/>
        <v>0.14153094063926941</v>
      </c>
      <c r="L33" s="4">
        <f t="shared" si="2"/>
        <v>0.12891164845173039</v>
      </c>
    </row>
    <row r="34" spans="1:12" x14ac:dyDescent="0.25">
      <c r="B34" s="5"/>
      <c r="C34" s="5"/>
      <c r="D34" s="5"/>
      <c r="E34" s="5"/>
      <c r="F34" s="5"/>
      <c r="G34" s="4"/>
      <c r="H34" s="4">
        <f t="shared" si="0"/>
        <v>0</v>
      </c>
      <c r="I34" s="4">
        <f t="shared" si="1"/>
        <v>0</v>
      </c>
      <c r="J34" s="4">
        <f t="shared" si="1"/>
        <v>0</v>
      </c>
      <c r="K34" s="4">
        <f t="shared" si="1"/>
        <v>0</v>
      </c>
      <c r="L34" s="4">
        <f t="shared" si="2"/>
        <v>0</v>
      </c>
    </row>
    <row r="35" spans="1:12" x14ac:dyDescent="0.25">
      <c r="A35" t="s">
        <v>34</v>
      </c>
      <c r="B35" s="4">
        <f>SUM(B5:B34)</f>
        <v>7378692.4111399995</v>
      </c>
      <c r="C35" s="4">
        <f>SUM(C5:C34)</f>
        <v>7433041.0783400005</v>
      </c>
      <c r="D35" s="4">
        <f>SUM(D5:D34)</f>
        <v>7895875.1352899997</v>
      </c>
      <c r="E35" s="4">
        <f>SUM(E5:E34)</f>
        <v>7691224.8809700003</v>
      </c>
      <c r="F35" s="4">
        <f>SUM(F5:F34)</f>
        <v>7621399.3944799993</v>
      </c>
      <c r="G35" s="4"/>
      <c r="H35" s="4">
        <f t="shared" si="0"/>
        <v>840.01507412795991</v>
      </c>
      <c r="I35" s="4">
        <f t="shared" si="1"/>
        <v>848.52067104337902</v>
      </c>
      <c r="J35" s="4">
        <f t="shared" si="1"/>
        <v>901.35560905136981</v>
      </c>
      <c r="K35" s="4">
        <f t="shared" si="1"/>
        <v>877.99370787328769</v>
      </c>
      <c r="L35" s="4">
        <f t="shared" si="2"/>
        <v>867.64565055555545</v>
      </c>
    </row>
    <row r="36" spans="1:12" x14ac:dyDescent="0.25">
      <c r="B36" s="4"/>
      <c r="C36" s="4"/>
      <c r="D36" s="4"/>
      <c r="E36" s="4"/>
      <c r="F36" s="4"/>
      <c r="G36" s="4"/>
      <c r="H36" s="4">
        <f t="shared" si="0"/>
        <v>0</v>
      </c>
      <c r="I36" s="4">
        <f t="shared" si="1"/>
        <v>0</v>
      </c>
      <c r="J36" s="4">
        <f t="shared" si="1"/>
        <v>0</v>
      </c>
      <c r="K36" s="4">
        <f t="shared" si="1"/>
        <v>0</v>
      </c>
      <c r="L36" s="4">
        <f t="shared" si="2"/>
        <v>0</v>
      </c>
    </row>
    <row r="37" spans="1:12" x14ac:dyDescent="0.25">
      <c r="A37" t="s">
        <v>35</v>
      </c>
      <c r="B37" s="4">
        <f>9060373+B28</f>
        <v>9485018</v>
      </c>
      <c r="C37" s="4">
        <f>9060373+C28</f>
        <v>9427371</v>
      </c>
      <c r="D37" s="4">
        <f>9060373+D28</f>
        <v>9435760</v>
      </c>
      <c r="E37" s="4">
        <f>9534700+64668</f>
        <v>9599368</v>
      </c>
      <c r="F37" s="4">
        <v>9742807</v>
      </c>
      <c r="G37" s="4"/>
      <c r="H37" s="4">
        <f t="shared" si="0"/>
        <v>1079.8062386156648</v>
      </c>
      <c r="I37" s="4">
        <f t="shared" si="1"/>
        <v>1076.1839041095891</v>
      </c>
      <c r="J37" s="4">
        <f t="shared" si="1"/>
        <v>1077.1415525114155</v>
      </c>
      <c r="K37" s="4">
        <f t="shared" si="1"/>
        <v>1095.8182648401826</v>
      </c>
      <c r="L37" s="4">
        <f t="shared" si="2"/>
        <v>1109.1538023679418</v>
      </c>
    </row>
    <row r="38" spans="1:12" x14ac:dyDescent="0.25">
      <c r="G38" t="s">
        <v>36</v>
      </c>
    </row>
    <row r="39" spans="1:12" x14ac:dyDescent="0.25">
      <c r="A39" t="s">
        <v>50</v>
      </c>
      <c r="B39" s="7">
        <f>B35/B37</f>
        <v>0.77793130293901391</v>
      </c>
      <c r="C39" s="7">
        <f>C35/C37</f>
        <v>0.78845322607331358</v>
      </c>
      <c r="D39" s="7">
        <f>D35/D37</f>
        <v>0.83680330310330064</v>
      </c>
      <c r="E39" s="7">
        <f>E35/E37</f>
        <v>0.80122200554974043</v>
      </c>
      <c r="F39" s="7">
        <f>F35/F37</f>
        <v>0.78225909581088893</v>
      </c>
      <c r="G39" s="8">
        <f>AVERAGE(B39:F39)</f>
        <v>0.79733378669525146</v>
      </c>
    </row>
    <row r="42" spans="1:12" ht="15.75" thickBot="1" x14ac:dyDescent="0.3"/>
    <row r="43" spans="1:12" ht="15.75" thickTop="1" x14ac:dyDescent="0.25">
      <c r="A43" s="9" t="s">
        <v>51</v>
      </c>
      <c r="B43" s="9"/>
      <c r="C43" s="9"/>
      <c r="D43" s="9"/>
      <c r="E43" s="9"/>
      <c r="F43" s="9"/>
      <c r="G43" s="9"/>
    </row>
    <row r="44" spans="1:12" x14ac:dyDescent="0.25">
      <c r="B44">
        <v>2016</v>
      </c>
      <c r="C44">
        <v>2017</v>
      </c>
      <c r="D44">
        <v>2018</v>
      </c>
      <c r="E44">
        <v>2019</v>
      </c>
      <c r="F44">
        <v>2020</v>
      </c>
      <c r="G44">
        <v>2021</v>
      </c>
    </row>
    <row r="45" spans="1:12" x14ac:dyDescent="0.25">
      <c r="A45" t="s">
        <v>37</v>
      </c>
      <c r="B45" s="4">
        <v>5578322</v>
      </c>
      <c r="C45" s="4">
        <v>5817351</v>
      </c>
      <c r="D45" s="4">
        <v>5608062</v>
      </c>
      <c r="E45" s="4">
        <v>5672876</v>
      </c>
      <c r="F45" s="4">
        <v>5461691</v>
      </c>
      <c r="G45" s="4">
        <v>5623335</v>
      </c>
      <c r="H45" s="4"/>
      <c r="I45" s="4"/>
      <c r="J45" s="4"/>
    </row>
    <row r="46" spans="1:12" x14ac:dyDescent="0.25">
      <c r="A46" t="s">
        <v>38</v>
      </c>
      <c r="B46" s="10">
        <v>0.65629999999999999</v>
      </c>
      <c r="C46" s="10">
        <v>0.6573</v>
      </c>
      <c r="D46" s="10">
        <v>0.65349999999999997</v>
      </c>
      <c r="E46" s="10">
        <v>0.65390000000000004</v>
      </c>
      <c r="F46" s="10">
        <v>0.65539999999999998</v>
      </c>
      <c r="G46" s="10">
        <v>0.65539999999999998</v>
      </c>
      <c r="H46" s="4"/>
      <c r="I46" s="4"/>
      <c r="J46" s="4"/>
    </row>
    <row r="48" spans="1:12" x14ac:dyDescent="0.25">
      <c r="A48" t="s">
        <v>39</v>
      </c>
      <c r="B48" s="4">
        <f>558857-104480</f>
        <v>454377</v>
      </c>
      <c r="C48" s="4">
        <f>693365-65831</f>
        <v>627534</v>
      </c>
      <c r="D48" s="4">
        <f>586426-79782</f>
        <v>506644</v>
      </c>
      <c r="E48" s="4">
        <f>332778-80796</f>
        <v>251982</v>
      </c>
      <c r="F48" s="4">
        <f>143913-58851</f>
        <v>85062</v>
      </c>
    </row>
    <row r="49" spans="1:6" x14ac:dyDescent="0.25">
      <c r="A49" t="s">
        <v>40</v>
      </c>
      <c r="B49" s="4">
        <f>38002-34822</f>
        <v>3180</v>
      </c>
      <c r="C49" s="4">
        <f>4012-63445</f>
        <v>-59433</v>
      </c>
      <c r="D49" s="4">
        <f>18601-24095</f>
        <v>-5494</v>
      </c>
      <c r="E49" s="4">
        <f>26821-24377</f>
        <v>2444</v>
      </c>
      <c r="F49" s="4">
        <f>39708-23899</f>
        <v>15809</v>
      </c>
    </row>
    <row r="50" spans="1:6" x14ac:dyDescent="0.25">
      <c r="A50" t="s">
        <v>41</v>
      </c>
      <c r="B50" s="4">
        <f>62743-3099</f>
        <v>59644</v>
      </c>
      <c r="C50" s="4">
        <f>54140-7290</f>
        <v>46850</v>
      </c>
      <c r="D50" s="4">
        <f>60168-9974</f>
        <v>50194</v>
      </c>
      <c r="E50" s="4">
        <f>44295-44295-26794</f>
        <v>-26794</v>
      </c>
      <c r="F50" s="4">
        <f>24374-421632-2737</f>
        <v>-399995</v>
      </c>
    </row>
    <row r="51" spans="1:6" x14ac:dyDescent="0.25">
      <c r="A51" t="s">
        <v>42</v>
      </c>
      <c r="B51" s="4">
        <v>6</v>
      </c>
      <c r="C51" s="4">
        <f>24-19</f>
        <v>5</v>
      </c>
      <c r="D51" s="4">
        <f>6-41</f>
        <v>-35</v>
      </c>
      <c r="E51" s="4">
        <f>7-2</f>
        <v>5</v>
      </c>
      <c r="F51" s="4">
        <f>18-5</f>
        <v>13</v>
      </c>
    </row>
    <row r="52" spans="1:6" x14ac:dyDescent="0.25">
      <c r="A52" t="s">
        <v>43</v>
      </c>
      <c r="B52" s="4">
        <f>11648-3614</f>
        <v>8034</v>
      </c>
      <c r="C52" s="4">
        <f>13280-3240</f>
        <v>10040</v>
      </c>
      <c r="D52" s="4">
        <f>17380-7888</f>
        <v>9492</v>
      </c>
      <c r="E52" s="4">
        <f>9170-12045</f>
        <v>-2875</v>
      </c>
      <c r="F52" s="4">
        <f>7050-5720</f>
        <v>1330</v>
      </c>
    </row>
    <row r="53" spans="1:6" x14ac:dyDescent="0.25">
      <c r="A53" t="s">
        <v>44</v>
      </c>
      <c r="B53" s="4">
        <f>71024-6036-137395</f>
        <v>-72407</v>
      </c>
      <c r="C53" s="4">
        <f>65304-273408</f>
        <v>-208104</v>
      </c>
      <c r="D53" s="4">
        <f>131826-122844</f>
        <v>8982</v>
      </c>
      <c r="E53" s="4">
        <v>123558</v>
      </c>
      <c r="F53" s="4">
        <f>239197-68676</f>
        <v>170521</v>
      </c>
    </row>
    <row r="54" spans="1:6" x14ac:dyDescent="0.25">
      <c r="A54" t="s">
        <v>45</v>
      </c>
      <c r="B54" s="4">
        <f>84678-72218</f>
        <v>12460</v>
      </c>
      <c r="C54" s="4">
        <f>86171-141694</f>
        <v>-55523</v>
      </c>
      <c r="D54" s="4">
        <f>87272-149792</f>
        <v>-62520</v>
      </c>
      <c r="E54" s="4">
        <v>72662</v>
      </c>
      <c r="F54" s="4">
        <f>76858-64801</f>
        <v>12057</v>
      </c>
    </row>
    <row r="55" spans="1:6" x14ac:dyDescent="0.25">
      <c r="A55" t="s">
        <v>46</v>
      </c>
      <c r="B55" s="4">
        <f>32780-19118</f>
        <v>13662</v>
      </c>
      <c r="C55" s="4">
        <f>31174-16085</f>
        <v>15089</v>
      </c>
      <c r="D55" s="4">
        <f>20310-34670</f>
        <v>-14360</v>
      </c>
      <c r="E55" s="4">
        <v>13448</v>
      </c>
      <c r="F55" s="4">
        <f>14400-10371</f>
        <v>4029</v>
      </c>
    </row>
    <row r="56" spans="1:6" x14ac:dyDescent="0.25">
      <c r="A56" t="s">
        <v>47</v>
      </c>
      <c r="B56">
        <f>38600-12440</f>
        <v>26160</v>
      </c>
      <c r="C56" s="4">
        <f>38788-28038</f>
        <v>10750</v>
      </c>
      <c r="D56" s="4">
        <f>50486-27085</f>
        <v>23401</v>
      </c>
      <c r="E56" s="4">
        <v>18540</v>
      </c>
      <c r="F56" s="4">
        <f>15310-11065</f>
        <v>4245</v>
      </c>
    </row>
    <row r="57" spans="1:6" x14ac:dyDescent="0.25">
      <c r="A57" t="s">
        <v>48</v>
      </c>
      <c r="B57" s="4">
        <f>26746-12041</f>
        <v>14705</v>
      </c>
      <c r="C57" s="4">
        <f>19567-8698</f>
        <v>10869</v>
      </c>
      <c r="D57" s="4">
        <f>11356-10621</f>
        <v>735</v>
      </c>
      <c r="E57" s="4">
        <v>8258</v>
      </c>
      <c r="F57" s="4">
        <f>16371-4442</f>
        <v>11929</v>
      </c>
    </row>
    <row r="58" spans="1:6" x14ac:dyDescent="0.25">
      <c r="A58" t="s">
        <v>49</v>
      </c>
      <c r="B58" s="4">
        <f>22883-22050</f>
        <v>833</v>
      </c>
      <c r="C58" s="4">
        <f>21114-24332</f>
        <v>-3218</v>
      </c>
      <c r="D58" s="4">
        <f>9356-48643</f>
        <v>-39287</v>
      </c>
      <c r="E58" s="4">
        <v>14585</v>
      </c>
      <c r="F58" s="4">
        <f>28351-33551</f>
        <v>-5200</v>
      </c>
    </row>
  </sheetData>
  <pageMargins left="0.7" right="0.7" top="0.75" bottom="0.75" header="0.3" footer="0.3"/>
  <pageSetup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Generation vs Load Estimates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Gall</dc:creator>
  <cp:lastModifiedBy>James Gall</cp:lastModifiedBy>
  <dcterms:created xsi:type="dcterms:W3CDTF">2021-09-21T21:52:38Z</dcterms:created>
  <dcterms:modified xsi:type="dcterms:W3CDTF">2021-09-21T21:55:05Z</dcterms:modified>
</cp:coreProperties>
</file>