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M:\2021\2021 WA Clean Energy Implementation Plan (CEIP) (UE-210628)\Final Filing 10.01.2021\Appendix\"/>
    </mc:Choice>
  </mc:AlternateContent>
  <xr:revisionPtr revIDLastSave="0" documentId="13_ncr:1_{1B378882-5A3A-4B60-A704-B10E41E351A6}" xr6:coauthVersionLast="45" xr6:coauthVersionMax="45" xr10:uidLastSave="{00000000-0000-0000-0000-000000000000}"/>
  <bookViews>
    <workbookView xWindow="-120" yWindow="-120" windowWidth="29040" windowHeight="15990" xr2:uid="{00000000-000D-0000-FFFF-FFFF00000000}"/>
  </bookViews>
  <sheets>
    <sheet name="Monthly Load Generation Balance" sheetId="12" r:id="rId1"/>
    <sheet name="Small PURPA" sheetId="15" r:id="rId2"/>
    <sheet name="Assumptions" sheetId="7" r:id="rId3"/>
    <sheet name="REC and Specified Sales" sheetId="14" r:id="rId4"/>
    <sheet name="Median Hydro" sheetId="16" r:id="rId5"/>
    <sheet name="Table 2.1" sheetId="10" r:id="rId6"/>
  </sheets>
  <definedNames>
    <definedName name="_ftn1" localSheetId="5">'Table 2.1'!$B$25</definedName>
    <definedName name="_ftn2" localSheetId="5">'Table 2.1'!$B$26</definedName>
    <definedName name="_ftnref1" localSheetId="5">'Table 2.1'!$B$5</definedName>
    <definedName name="_ftnref2" localSheetId="5">'Table 2.1'!$B$6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R19" i="12" l="1"/>
  <c r="AQ19" i="12"/>
  <c r="AP19" i="12"/>
  <c r="AO19" i="12"/>
  <c r="AN19" i="12"/>
  <c r="AM19" i="12"/>
  <c r="AL19" i="12"/>
  <c r="AK19" i="12"/>
  <c r="AJ19" i="12"/>
  <c r="AI19" i="12"/>
  <c r="AH19" i="12"/>
  <c r="AG19" i="12"/>
  <c r="AR18" i="12"/>
  <c r="AQ18" i="12"/>
  <c r="AP18" i="12"/>
  <c r="AO18" i="12"/>
  <c r="AN18" i="12"/>
  <c r="AM18" i="12"/>
  <c r="AL18" i="12"/>
  <c r="AK18" i="12"/>
  <c r="AJ18" i="12"/>
  <c r="AI18" i="12"/>
  <c r="AH18" i="12"/>
  <c r="AG18" i="12"/>
  <c r="AR17" i="12"/>
  <c r="AQ17" i="12"/>
  <c r="AP17" i="12"/>
  <c r="AO17" i="12"/>
  <c r="AN17" i="12"/>
  <c r="AM17" i="12"/>
  <c r="AL17" i="12"/>
  <c r="AK17" i="12"/>
  <c r="AJ17" i="12"/>
  <c r="AI17" i="12"/>
  <c r="AH17" i="12"/>
  <c r="AG17" i="12"/>
  <c r="AR16" i="12"/>
  <c r="AQ16" i="12"/>
  <c r="AP16" i="12"/>
  <c r="AO16" i="12"/>
  <c r="AN16" i="12"/>
  <c r="AM16" i="12"/>
  <c r="AL16" i="12"/>
  <c r="AK16" i="12"/>
  <c r="AJ16" i="12"/>
  <c r="AI16" i="12"/>
  <c r="AH16" i="12"/>
  <c r="AG16" i="12"/>
  <c r="AR15" i="12"/>
  <c r="AQ15" i="12"/>
  <c r="AP15" i="12"/>
  <c r="AO15" i="12"/>
  <c r="AN15" i="12"/>
  <c r="AM15" i="12"/>
  <c r="AL15" i="12"/>
  <c r="AK15" i="12"/>
  <c r="AJ15" i="12"/>
  <c r="AI15" i="12"/>
  <c r="AH15" i="12"/>
  <c r="AG15" i="12"/>
  <c r="AR14" i="12"/>
  <c r="AQ14" i="12"/>
  <c r="AP14" i="12"/>
  <c r="AO14" i="12"/>
  <c r="AN14" i="12"/>
  <c r="AM14" i="12"/>
  <c r="AL14" i="12"/>
  <c r="AK14" i="12"/>
  <c r="AJ14" i="12"/>
  <c r="AI14" i="12"/>
  <c r="AH14" i="12"/>
  <c r="AG14" i="12"/>
  <c r="AR13" i="12"/>
  <c r="AQ13" i="12"/>
  <c r="AP13" i="12"/>
  <c r="AO13" i="12"/>
  <c r="AN13" i="12"/>
  <c r="AM13" i="12"/>
  <c r="AL13" i="12"/>
  <c r="AK13" i="12"/>
  <c r="AJ13" i="12"/>
  <c r="AI13" i="12"/>
  <c r="AH13" i="12"/>
  <c r="AG13" i="12"/>
  <c r="AR12" i="12"/>
  <c r="AQ12" i="12"/>
  <c r="AP12" i="12"/>
  <c r="AO12" i="12"/>
  <c r="AN12" i="12"/>
  <c r="AM12" i="12"/>
  <c r="AL12" i="12"/>
  <c r="AK12" i="12"/>
  <c r="AJ12" i="12"/>
  <c r="AI12" i="12"/>
  <c r="AH12" i="12"/>
  <c r="AG12" i="12"/>
  <c r="AR11" i="12"/>
  <c r="AQ11" i="12"/>
  <c r="AP11" i="12"/>
  <c r="AO11" i="12"/>
  <c r="AN11" i="12"/>
  <c r="AM11" i="12"/>
  <c r="AL11" i="12"/>
  <c r="AK11" i="12"/>
  <c r="AJ11" i="12"/>
  <c r="AI11" i="12"/>
  <c r="AH11" i="12"/>
  <c r="AG11" i="12"/>
  <c r="AR10" i="12"/>
  <c r="AQ10" i="12"/>
  <c r="AP10" i="12"/>
  <c r="AO10" i="12"/>
  <c r="AN10" i="12"/>
  <c r="AM10" i="12"/>
  <c r="AL10" i="12"/>
  <c r="AK10" i="12"/>
  <c r="AJ10" i="12"/>
  <c r="AI10" i="12"/>
  <c r="AH10" i="12"/>
  <c r="AG10" i="12"/>
  <c r="AR9" i="12"/>
  <c r="AQ9" i="12"/>
  <c r="AP9" i="12"/>
  <c r="AO9" i="12"/>
  <c r="AN9" i="12"/>
  <c r="AM9" i="12"/>
  <c r="AL9" i="12"/>
  <c r="AK9" i="12"/>
  <c r="AJ9" i="12"/>
  <c r="AI9" i="12"/>
  <c r="AH9" i="12"/>
  <c r="AG9" i="12"/>
  <c r="AR8" i="12"/>
  <c r="AQ8" i="12"/>
  <c r="AP8" i="12"/>
  <c r="AO8" i="12"/>
  <c r="AN8" i="12"/>
  <c r="AM8" i="12"/>
  <c r="AL8" i="12"/>
  <c r="AK8" i="12"/>
  <c r="AJ8" i="12"/>
  <c r="AI8" i="12"/>
  <c r="AH8" i="12"/>
  <c r="AG8" i="12"/>
  <c r="AS21" i="12"/>
  <c r="AS20" i="12"/>
  <c r="AS12" i="12"/>
  <c r="AS7" i="12"/>
  <c r="AS11" i="12" l="1"/>
  <c r="AS9" i="12"/>
  <c r="AS13" i="12"/>
  <c r="AS14" i="12"/>
  <c r="AS15" i="12"/>
  <c r="AS16" i="12"/>
  <c r="AS17" i="12"/>
  <c r="AT17" i="12" s="1"/>
  <c r="AS18" i="12"/>
  <c r="AT18" i="12" s="1"/>
  <c r="AS19" i="12"/>
  <c r="AT19" i="12" s="1"/>
  <c r="AS8" i="12"/>
  <c r="AS10" i="12"/>
  <c r="D13" i="10"/>
  <c r="E13" i="10"/>
  <c r="N18" i="16"/>
  <c r="M18" i="16"/>
  <c r="L18" i="16"/>
  <c r="K18" i="16"/>
  <c r="J18" i="16"/>
  <c r="I18" i="16"/>
  <c r="H18" i="16"/>
  <c r="G18" i="16"/>
  <c r="F18" i="16"/>
  <c r="E18" i="16"/>
  <c r="D18" i="16"/>
  <c r="C18" i="16"/>
  <c r="D5" i="16" l="1"/>
  <c r="N25" i="16"/>
  <c r="M25" i="16"/>
  <c r="L25" i="16"/>
  <c r="K25" i="16"/>
  <c r="J25" i="16"/>
  <c r="I25" i="16"/>
  <c r="H25" i="16"/>
  <c r="G25" i="16"/>
  <c r="F25" i="16"/>
  <c r="E25" i="16"/>
  <c r="D25" i="16"/>
  <c r="C25" i="16"/>
  <c r="N24" i="16"/>
  <c r="M24" i="16"/>
  <c r="L24" i="16"/>
  <c r="K24" i="16"/>
  <c r="J24" i="16"/>
  <c r="I24" i="16"/>
  <c r="H24" i="16"/>
  <c r="G24" i="16"/>
  <c r="F24" i="16"/>
  <c r="E24" i="16"/>
  <c r="D24" i="16"/>
  <c r="C24" i="16"/>
  <c r="N23" i="16"/>
  <c r="M23" i="16"/>
  <c r="L23" i="16"/>
  <c r="K23" i="16"/>
  <c r="J23" i="16"/>
  <c r="I23" i="16"/>
  <c r="H23" i="16"/>
  <c r="G23" i="16"/>
  <c r="F23" i="16"/>
  <c r="E23" i="16"/>
  <c r="D23" i="16"/>
  <c r="C23" i="16"/>
  <c r="N22" i="16"/>
  <c r="M22" i="16"/>
  <c r="L22" i="16"/>
  <c r="K22" i="16"/>
  <c r="J22" i="16"/>
  <c r="I22" i="16"/>
  <c r="H22" i="16"/>
  <c r="G22" i="16"/>
  <c r="F22" i="16"/>
  <c r="E22" i="16"/>
  <c r="D22" i="16"/>
  <c r="C22" i="16"/>
  <c r="N21" i="16"/>
  <c r="N27" i="16" s="1"/>
  <c r="N29" i="16" s="1"/>
  <c r="M21" i="16"/>
  <c r="L21" i="16"/>
  <c r="K21" i="16"/>
  <c r="J21" i="16"/>
  <c r="I21" i="16"/>
  <c r="I27" i="16" s="1"/>
  <c r="I29" i="16" s="1"/>
  <c r="H21" i="16"/>
  <c r="G21" i="16"/>
  <c r="G27" i="16" s="1"/>
  <c r="G29" i="16" s="1"/>
  <c r="F21" i="16"/>
  <c r="F27" i="16" s="1"/>
  <c r="F29" i="16" s="1"/>
  <c r="E21" i="16"/>
  <c r="E27" i="16" s="1"/>
  <c r="E29" i="16" s="1"/>
  <c r="D21" i="16"/>
  <c r="C21" i="16"/>
  <c r="C27" i="16" l="1"/>
  <c r="C29" i="16" s="1"/>
  <c r="D27" i="16"/>
  <c r="D29" i="16" s="1"/>
  <c r="L27" i="16"/>
  <c r="L29" i="16" s="1"/>
  <c r="K27" i="16"/>
  <c r="K29" i="16" s="1"/>
  <c r="O24" i="16"/>
  <c r="P24" i="16" s="1"/>
  <c r="O5" i="16"/>
  <c r="H27" i="16"/>
  <c r="H29" i="16" s="1"/>
  <c r="O21" i="16"/>
  <c r="O35" i="16"/>
  <c r="P35" i="16" s="1"/>
  <c r="O17" i="16"/>
  <c r="P17" i="16" s="1"/>
  <c r="O36" i="16"/>
  <c r="P36" i="16" s="1"/>
  <c r="J27" i="16"/>
  <c r="J29" i="16" s="1"/>
  <c r="O16" i="16"/>
  <c r="P16" i="16" s="1"/>
  <c r="O37" i="16"/>
  <c r="P37" i="16" s="1"/>
  <c r="O14" i="16"/>
  <c r="P14" i="16" s="1"/>
  <c r="O38" i="16"/>
  <c r="P38" i="16" s="1"/>
  <c r="M27" i="16"/>
  <c r="M29" i="16" s="1"/>
  <c r="O13" i="16"/>
  <c r="P13" i="16" s="1"/>
  <c r="O26" i="16" l="1"/>
  <c r="P26" i="16" s="1"/>
  <c r="O12" i="16"/>
  <c r="P12" i="16" s="1"/>
  <c r="O22" i="16"/>
  <c r="P22" i="16" s="1"/>
  <c r="O34" i="16"/>
  <c r="P34" i="16" s="1"/>
  <c r="O23" i="16"/>
  <c r="P23" i="16" s="1"/>
  <c r="O11" i="16"/>
  <c r="P11" i="16" s="1"/>
  <c r="O25" i="16"/>
  <c r="P25" i="16" s="1"/>
  <c r="O15" i="16"/>
  <c r="P15" i="16" s="1"/>
  <c r="O10" i="16"/>
  <c r="P10" i="16" s="1"/>
  <c r="P21" i="16"/>
  <c r="P27" i="16" s="1"/>
  <c r="P18" i="16" l="1"/>
  <c r="P29" i="16" s="1"/>
  <c r="O27" i="16"/>
  <c r="O18" i="16"/>
  <c r="D10" i="10"/>
  <c r="O29" i="16"/>
  <c r="D14" i="15"/>
  <c r="C13" i="10" l="1"/>
  <c r="E4" i="10" l="1"/>
  <c r="D4" i="10" s="1"/>
  <c r="C4" i="10"/>
  <c r="E14" i="14" l="1"/>
  <c r="D14" i="14"/>
  <c r="C13" i="14"/>
  <c r="C12" i="14"/>
  <c r="C11" i="14"/>
  <c r="C8" i="14"/>
  <c r="E7" i="14"/>
  <c r="D7" i="14"/>
  <c r="E6" i="14"/>
  <c r="D6" i="14"/>
  <c r="E5" i="14"/>
  <c r="D5" i="14"/>
  <c r="AC21" i="12"/>
  <c r="AB21" i="12"/>
  <c r="AA21" i="12"/>
  <c r="Z21" i="12"/>
  <c r="Y21" i="12"/>
  <c r="X21" i="12"/>
  <c r="W21" i="12"/>
  <c r="V21" i="12"/>
  <c r="U21" i="12"/>
  <c r="T21" i="12"/>
  <c r="S21" i="12"/>
  <c r="AD21" i="12" s="1"/>
  <c r="AC20" i="12"/>
  <c r="AB20" i="12"/>
  <c r="AA20" i="12"/>
  <c r="Z20" i="12"/>
  <c r="Y20" i="12"/>
  <c r="X20" i="12"/>
  <c r="W20" i="12"/>
  <c r="V20" i="12"/>
  <c r="U20" i="12"/>
  <c r="T20" i="12"/>
  <c r="S20" i="12"/>
  <c r="R21" i="12"/>
  <c r="R20" i="12"/>
  <c r="AD20" i="12" l="1"/>
  <c r="D8" i="14"/>
  <c r="D16" i="14" s="1"/>
  <c r="E8" i="14"/>
  <c r="E16" i="14" s="1"/>
  <c r="C14" i="14"/>
  <c r="C16" i="14" s="1"/>
  <c r="AC19" i="12"/>
  <c r="AB19" i="12"/>
  <c r="AA19" i="12"/>
  <c r="Z19" i="12"/>
  <c r="Y19" i="12"/>
  <c r="X19" i="12"/>
  <c r="W19" i="12"/>
  <c r="V19" i="12"/>
  <c r="U19" i="12"/>
  <c r="T19" i="12"/>
  <c r="S19" i="12"/>
  <c r="R19" i="12"/>
  <c r="AC18" i="12"/>
  <c r="AB18" i="12"/>
  <c r="AA18" i="12"/>
  <c r="Z18" i="12"/>
  <c r="Y18" i="12"/>
  <c r="X18" i="12"/>
  <c r="W18" i="12"/>
  <c r="V18" i="12"/>
  <c r="U18" i="12"/>
  <c r="T18" i="12"/>
  <c r="S18" i="12"/>
  <c r="R18" i="12"/>
  <c r="AC17" i="12"/>
  <c r="AB17" i="12"/>
  <c r="AA17" i="12"/>
  <c r="Z17" i="12"/>
  <c r="Y17" i="12"/>
  <c r="X17" i="12"/>
  <c r="W17" i="12"/>
  <c r="V17" i="12"/>
  <c r="U17" i="12"/>
  <c r="T17" i="12"/>
  <c r="S17" i="12"/>
  <c r="R17" i="12"/>
  <c r="AC16" i="12"/>
  <c r="AB16" i="12"/>
  <c r="AA16" i="12"/>
  <c r="Z16" i="12"/>
  <c r="Y16" i="12"/>
  <c r="X16" i="12"/>
  <c r="W16" i="12"/>
  <c r="V16" i="12"/>
  <c r="U16" i="12"/>
  <c r="T16" i="12"/>
  <c r="S16" i="12"/>
  <c r="R16" i="12"/>
  <c r="AC15" i="12"/>
  <c r="AB15" i="12"/>
  <c r="AA15" i="12"/>
  <c r="Z15" i="12"/>
  <c r="Y15" i="12"/>
  <c r="X15" i="12"/>
  <c r="W15" i="12"/>
  <c r="V15" i="12"/>
  <c r="U15" i="12"/>
  <c r="T15" i="12"/>
  <c r="S15" i="12"/>
  <c r="R15" i="12"/>
  <c r="AC14" i="12"/>
  <c r="AB14" i="12"/>
  <c r="AA14" i="12"/>
  <c r="Z14" i="12"/>
  <c r="Y14" i="12"/>
  <c r="X14" i="12"/>
  <c r="W14" i="12"/>
  <c r="V14" i="12"/>
  <c r="U14" i="12"/>
  <c r="T14" i="12"/>
  <c r="S14" i="12"/>
  <c r="R14" i="12"/>
  <c r="AC13" i="12"/>
  <c r="AB13" i="12"/>
  <c r="AA13" i="12"/>
  <c r="Z13" i="12"/>
  <c r="Y13" i="12"/>
  <c r="X13" i="12"/>
  <c r="W13" i="12"/>
  <c r="V13" i="12"/>
  <c r="U13" i="12"/>
  <c r="T13" i="12"/>
  <c r="S13" i="12"/>
  <c r="R13" i="12"/>
  <c r="AC12" i="12"/>
  <c r="AB12" i="12"/>
  <c r="AA12" i="12"/>
  <c r="Z12" i="12"/>
  <c r="Y12" i="12"/>
  <c r="X12" i="12"/>
  <c r="W12" i="12"/>
  <c r="V12" i="12"/>
  <c r="U12" i="12"/>
  <c r="T12" i="12"/>
  <c r="S12" i="12"/>
  <c r="R12" i="12"/>
  <c r="AC11" i="12"/>
  <c r="AB11" i="12"/>
  <c r="AA11" i="12"/>
  <c r="Z11" i="12"/>
  <c r="Y11" i="12"/>
  <c r="X11" i="12"/>
  <c r="W11" i="12"/>
  <c r="V11" i="12"/>
  <c r="U11" i="12"/>
  <c r="T11" i="12"/>
  <c r="S11" i="12"/>
  <c r="R11" i="12"/>
  <c r="AC10" i="12"/>
  <c r="AB10" i="12"/>
  <c r="AA10" i="12"/>
  <c r="Z10" i="12"/>
  <c r="Y10" i="12"/>
  <c r="X10" i="12"/>
  <c r="W10" i="12"/>
  <c r="V10" i="12"/>
  <c r="U10" i="12"/>
  <c r="T10" i="12"/>
  <c r="S10" i="12"/>
  <c r="R10" i="12"/>
  <c r="AC9" i="12"/>
  <c r="AB9" i="12"/>
  <c r="AA9" i="12"/>
  <c r="Z9" i="12"/>
  <c r="Y9" i="12"/>
  <c r="X9" i="12"/>
  <c r="W9" i="12"/>
  <c r="V9" i="12"/>
  <c r="U9" i="12"/>
  <c r="T9" i="12"/>
  <c r="S9" i="12"/>
  <c r="R9" i="12"/>
  <c r="AC8" i="12"/>
  <c r="AB8" i="12"/>
  <c r="AA8" i="12"/>
  <c r="Z8" i="12"/>
  <c r="Y8" i="12"/>
  <c r="X8" i="12"/>
  <c r="W8" i="12"/>
  <c r="V8" i="12"/>
  <c r="U8" i="12"/>
  <c r="T8" i="12"/>
  <c r="S8" i="12"/>
  <c r="R8" i="12"/>
  <c r="AC7" i="12"/>
  <c r="AB7" i="12"/>
  <c r="AA7" i="12"/>
  <c r="Z7" i="12"/>
  <c r="Y7" i="12"/>
  <c r="X7" i="12"/>
  <c r="W7" i="12"/>
  <c r="V7" i="12"/>
  <c r="U7" i="12"/>
  <c r="T7" i="12"/>
  <c r="S7" i="12"/>
  <c r="R7" i="12"/>
  <c r="O7" i="12"/>
  <c r="O41" i="12"/>
  <c r="O40" i="12"/>
  <c r="O38" i="12"/>
  <c r="B15" i="7" s="1"/>
  <c r="N37" i="12"/>
  <c r="N43" i="12" s="1"/>
  <c r="M37" i="12"/>
  <c r="M43" i="12" s="1"/>
  <c r="L37" i="12"/>
  <c r="L43" i="12" s="1"/>
  <c r="K37" i="12"/>
  <c r="K43" i="12" s="1"/>
  <c r="J37" i="12"/>
  <c r="I37" i="12"/>
  <c r="H37" i="12"/>
  <c r="G37" i="12"/>
  <c r="F37" i="12"/>
  <c r="F43" i="12" s="1"/>
  <c r="E37" i="12"/>
  <c r="E43" i="12" s="1"/>
  <c r="D37" i="12"/>
  <c r="D43" i="12" s="1"/>
  <c r="C37" i="12"/>
  <c r="C43" i="12" s="1"/>
  <c r="O34" i="12"/>
  <c r="O33" i="12"/>
  <c r="O32" i="12"/>
  <c r="O31" i="12"/>
  <c r="O30" i="12"/>
  <c r="O29" i="12"/>
  <c r="O28" i="12"/>
  <c r="O27" i="12"/>
  <c r="O26" i="12"/>
  <c r="O25" i="12"/>
  <c r="O22" i="12"/>
  <c r="O21" i="12"/>
  <c r="O20" i="12"/>
  <c r="O19" i="12"/>
  <c r="O18" i="12"/>
  <c r="O17" i="12"/>
  <c r="O16" i="12"/>
  <c r="S27" i="16" s="1"/>
  <c r="R27" i="16" s="1"/>
  <c r="T27" i="16" s="1"/>
  <c r="O15" i="12"/>
  <c r="S10" i="16" s="1"/>
  <c r="O14" i="12"/>
  <c r="S11" i="16" s="1"/>
  <c r="R11" i="16" s="1"/>
  <c r="T11" i="16" s="1"/>
  <c r="O13" i="12"/>
  <c r="S13" i="16" s="1"/>
  <c r="R13" i="16" s="1"/>
  <c r="T13" i="16" s="1"/>
  <c r="O12" i="12"/>
  <c r="S12" i="16" s="1"/>
  <c r="R12" i="16" s="1"/>
  <c r="T12" i="16" s="1"/>
  <c r="O11" i="12"/>
  <c r="S15" i="16" s="1"/>
  <c r="R15" i="16" s="1"/>
  <c r="T15" i="16" s="1"/>
  <c r="O10" i="12"/>
  <c r="S14" i="16" s="1"/>
  <c r="R14" i="16" s="1"/>
  <c r="T14" i="16" s="1"/>
  <c r="O9" i="12"/>
  <c r="S16" i="16" s="1"/>
  <c r="R16" i="16" s="1"/>
  <c r="T16" i="16" s="1"/>
  <c r="O8" i="12"/>
  <c r="S17" i="16" s="1"/>
  <c r="R17" i="16" s="1"/>
  <c r="T17" i="16" s="1"/>
  <c r="S18" i="16" l="1"/>
  <c r="R10" i="16"/>
  <c r="T10" i="16" s="1"/>
  <c r="O37" i="12"/>
  <c r="AD7" i="12"/>
  <c r="E5" i="10"/>
  <c r="C5" i="10"/>
  <c r="D5" i="10" s="1"/>
  <c r="AD9" i="12"/>
  <c r="AD11" i="12"/>
  <c r="AD13" i="12"/>
  <c r="AD15" i="12"/>
  <c r="AD19" i="12"/>
  <c r="AD8" i="12"/>
  <c r="AD10" i="12"/>
  <c r="AD12" i="12"/>
  <c r="AD14" i="12"/>
  <c r="AD16" i="12"/>
  <c r="AD18" i="12"/>
  <c r="AD17" i="12"/>
  <c r="C12" i="10" s="1"/>
  <c r="D12" i="10" s="1"/>
  <c r="G43" i="12"/>
  <c r="O39" i="12"/>
  <c r="O43" i="12" s="1"/>
  <c r="H43" i="12"/>
  <c r="I43" i="12"/>
  <c r="J43" i="12"/>
  <c r="C18" i="10" l="1"/>
  <c r="C11" i="10"/>
  <c r="S29" i="16"/>
  <c r="R29" i="16" s="1"/>
  <c r="T29" i="16" s="1"/>
  <c r="R18" i="16"/>
  <c r="T18" i="16" s="1"/>
  <c r="E6" i="10"/>
  <c r="C6" i="10"/>
  <c r="D6" i="10" s="1"/>
  <c r="C10" i="10"/>
  <c r="E12" i="10"/>
  <c r="E11" i="10"/>
  <c r="B14" i="7"/>
  <c r="B16" i="7" s="1"/>
  <c r="D11" i="10" l="1"/>
  <c r="D14" i="10" s="1"/>
  <c r="C17" i="10"/>
  <c r="D17" i="10" s="1"/>
  <c r="D7" i="10"/>
  <c r="E18" i="10"/>
  <c r="D18" i="10"/>
  <c r="E10" i="10"/>
  <c r="B17" i="7"/>
  <c r="E17" i="10" l="1"/>
  <c r="D19" i="10"/>
  <c r="E19" i="10"/>
  <c r="C19" i="10"/>
  <c r="D21" i="10" l="1"/>
  <c r="D22" i="10" s="1"/>
  <c r="C14" i="10"/>
  <c r="C21" i="10" s="1"/>
  <c r="E14" i="10" l="1"/>
  <c r="E21" i="10" s="1"/>
  <c r="E7" i="10" l="1"/>
  <c r="E22" i="10" s="1"/>
  <c r="C7" i="10"/>
  <c r="C22" i="1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James Gall</author>
  </authors>
  <commentList>
    <comment ref="B21" authorId="0" shapeId="0" xr:uid="{005BF955-F34E-4E79-A491-A2AD9DE4302B}">
      <text>
        <r>
          <rPr>
            <sz val="9"/>
            <color indexed="81"/>
            <rFont val="Tahoma"/>
            <family val="2"/>
          </rPr>
          <t>City of Spokane Total does not include hours where load exceeds generation. These amounts adjust for change.</t>
        </r>
      </text>
    </comment>
    <comment ref="B22" authorId="0" shapeId="0" xr:uid="{3B260429-75B6-4D7E-AFEC-A9F73CD447B7}">
      <text>
        <r>
          <rPr>
            <b/>
            <sz val="9"/>
            <color indexed="81"/>
            <rFont val="Tahoma"/>
            <family val="2"/>
          </rPr>
          <t xml:space="preserve">Includes Boulder Park Solar and Idaho Share of small PURPA- to be adjusted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41" authorId="0" shapeId="0" xr:uid="{7EB38049-48C5-4CCA-B5A4-DBE0A9A4EAB1}">
      <text>
        <r>
          <rPr>
            <sz val="9"/>
            <color indexed="81"/>
            <rFont val="Tahoma"/>
            <family val="2"/>
          </rPr>
          <t>Includes:
 intervert, BA load deviations, contract devations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Hermanson, Lori</author>
    <author>James Gall</author>
  </authors>
  <commentList>
    <comment ref="B9" authorId="0" shapeId="0" xr:uid="{F8FFF63F-2F84-462F-A35B-DF53E14C8D36}">
      <text>
        <r>
          <rPr>
            <b/>
            <sz val="9"/>
            <color indexed="81"/>
            <rFont val="Tahoma"/>
            <family val="2"/>
          </rPr>
          <t>Hermanson, Lori:</t>
        </r>
        <r>
          <rPr>
            <sz val="9"/>
            <color indexed="81"/>
            <rFont val="Tahoma"/>
            <family val="2"/>
          </rPr>
          <t xml:space="preserve">
CY MWh sold (Sales to Ultimate Customers) from WA State Electric Annual Report 12.31.2020</t>
        </r>
      </text>
    </comment>
    <comment ref="A19" authorId="1" shapeId="0" xr:uid="{0A43F55E-7FD8-49A2-A233-BBF96679EE98}">
      <text>
        <r>
          <rPr>
            <b/>
            <sz val="9"/>
            <color indexed="81"/>
            <rFont val="Tahoma"/>
            <family val="2"/>
          </rPr>
          <t>Based on I-937 filing. Kettle Falls uses natural gas for start up and fuel blending. This amount showing the qualifying percentage.</t>
        </r>
      </text>
    </comment>
    <comment ref="A21" authorId="1" shapeId="0" xr:uid="{3DF80569-F5DA-4868-A55E-AC7DF00A6ADE}">
      <text>
        <r>
          <rPr>
            <b/>
            <sz val="9"/>
            <color indexed="81"/>
            <rFont val="Tahoma"/>
            <family val="2"/>
          </rPr>
          <t>from FERC Form 1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James Gall</author>
  </authors>
  <commentList>
    <comment ref="B9" authorId="0" shapeId="0" xr:uid="{5FD4B861-4F1A-4815-9C5D-3B58AC01A0C1}">
      <text>
        <r>
          <rPr>
            <b/>
            <sz val="9"/>
            <color indexed="81"/>
            <rFont val="Tahoma"/>
            <family val="2"/>
          </rPr>
          <t>Data Source: Avista generation estimates using BPA/Power Pool historical flows.</t>
        </r>
      </text>
    </comment>
    <comment ref="B26" authorId="0" shapeId="0" xr:uid="{637E5500-A546-466E-A3E1-941D63D47992}">
      <text>
        <r>
          <rPr>
            <b/>
            <sz val="9"/>
            <color indexed="81"/>
            <rFont val="Tahoma"/>
            <family val="2"/>
          </rPr>
          <t>Estimated from BPA Whitebook</t>
        </r>
      </text>
    </comment>
    <comment ref="B33" authorId="0" shapeId="0" xr:uid="{6B13625A-B11E-49B5-8313-C6BFE9EA2E92}">
      <text>
        <r>
          <rPr>
            <b/>
            <sz val="9"/>
            <color indexed="81"/>
            <rFont val="Tahoma"/>
            <family val="2"/>
          </rPr>
          <t>Data source is BPA</t>
        </r>
      </text>
    </comment>
  </commentList>
</comments>
</file>

<file path=xl/sharedStrings.xml><?xml version="1.0" encoding="utf-8"?>
<sst xmlns="http://schemas.openxmlformats.org/spreadsheetml/2006/main" count="275" uniqueCount="136">
  <si>
    <t>Wood</t>
  </si>
  <si>
    <t>Natural Gas</t>
  </si>
  <si>
    <t>Solar</t>
  </si>
  <si>
    <t>Wind</t>
  </si>
  <si>
    <t>Coal</t>
  </si>
  <si>
    <t>Other</t>
  </si>
  <si>
    <t>WA PURPA</t>
  </si>
  <si>
    <t>Small PURPA</t>
  </si>
  <si>
    <t>Check</t>
  </si>
  <si>
    <t>Total Load</t>
  </si>
  <si>
    <t>PT Ratio - WA</t>
  </si>
  <si>
    <t>PT Ratio - ID</t>
  </si>
  <si>
    <t>Idaho</t>
  </si>
  <si>
    <t>Montana</t>
  </si>
  <si>
    <t>Washington</t>
  </si>
  <si>
    <t>Total</t>
  </si>
  <si>
    <t>Retail Sales (MWh)</t>
  </si>
  <si>
    <t>Losses</t>
  </si>
  <si>
    <t>Less Load</t>
  </si>
  <si>
    <t>Difference</t>
  </si>
  <si>
    <t>Retail Sales</t>
  </si>
  <si>
    <t>Hydro</t>
  </si>
  <si>
    <t>Biomass</t>
  </si>
  <si>
    <t>WA</t>
  </si>
  <si>
    <t>ID</t>
  </si>
  <si>
    <t>Available Idaho Transfers</t>
  </si>
  <si>
    <t xml:space="preserve">Wind </t>
  </si>
  <si>
    <t>Item </t>
  </si>
  <si>
    <t>Retail Load</t>
  </si>
  <si>
    <t>Allocated Renewable Energy</t>
  </si>
  <si>
    <t>Total Allocated Renewable Energy</t>
  </si>
  <si>
    <t>Total Available Idaho Transfers</t>
  </si>
  <si>
    <t>Total Clean Energy Available</t>
  </si>
  <si>
    <t>Percent of Retail Load</t>
  </si>
  <si>
    <t>Voluntary Clean Energy</t>
  </si>
  <si>
    <t>Kettle Falls % Qualifying</t>
  </si>
  <si>
    <t>Noxon Rapids</t>
  </si>
  <si>
    <t>Cabinet Gorge</t>
  </si>
  <si>
    <t>Post Falls</t>
  </si>
  <si>
    <t>Facility</t>
  </si>
  <si>
    <t>Upper Falls</t>
  </si>
  <si>
    <t>Monroe Street</t>
  </si>
  <si>
    <t>Nine Mile Falls</t>
  </si>
  <si>
    <t>Long Lake</t>
  </si>
  <si>
    <t>Little Falls</t>
  </si>
  <si>
    <t>Kettle Falls</t>
  </si>
  <si>
    <t>Palouse Wind</t>
  </si>
  <si>
    <t>Rattlesnake Flat Wind</t>
  </si>
  <si>
    <t>Mid Columbia Contracts</t>
  </si>
  <si>
    <t>Adams Nielson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</si>
  <si>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</si>
  <si>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</si>
  <si>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</si>
  <si>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</si>
  <si>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</si>
  <si>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</si>
  <si>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</si>
  <si>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</si>
  <si>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</si>
  <si>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</si>
  <si>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</si>
  <si>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</si>
  <si>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Fuel Type</t>
  </si>
  <si>
    <t>Project</t>
  </si>
  <si>
    <t>Qualifying Resources</t>
  </si>
  <si>
    <t>Water</t>
  </si>
  <si>
    <t>PURPA</t>
  </si>
  <si>
    <t>Waste to Energy</t>
  </si>
  <si>
    <t>Upriver (net)</t>
  </si>
  <si>
    <t>Non Qualifying Resources</t>
  </si>
  <si>
    <t>Coyote Springs 2</t>
  </si>
  <si>
    <t>Lancaster</t>
  </si>
  <si>
    <t>Northeast</t>
  </si>
  <si>
    <t>Rathdrum</t>
  </si>
  <si>
    <t>Boulder Park</t>
  </si>
  <si>
    <t>Kettle Falls CT</t>
  </si>
  <si>
    <t>Colstrip</t>
  </si>
  <si>
    <t>Clearwater Paper</t>
  </si>
  <si>
    <t>Stimson Lumber</t>
  </si>
  <si>
    <t>City of Cove</t>
  </si>
  <si>
    <t>Total Generation</t>
  </si>
  <si>
    <t>Short Term Sales</t>
  </si>
  <si>
    <t>Short Term Purchases</t>
  </si>
  <si>
    <t>(Data from 2020 Hourly Energy Balancer_Confidential_Final.xlsx)</t>
  </si>
  <si>
    <t>2020 System Monthly MWh Balancer</t>
  </si>
  <si>
    <t>Washington Share</t>
  </si>
  <si>
    <t>Allocation Method</t>
  </si>
  <si>
    <t>PT Ratio</t>
  </si>
  <si>
    <t>Boulder Park Solar (2020)</t>
  </si>
  <si>
    <t>2020 Specified Sales and Renewable Energy Credit (REC) Sales</t>
  </si>
  <si>
    <t>Renewable Energy Under Utility Control</t>
  </si>
  <si>
    <t>Sheep Creek</t>
  </si>
  <si>
    <t>Phillips Ranch</t>
  </si>
  <si>
    <t>Spokane County Digester</t>
  </si>
  <si>
    <t>Deep Creek</t>
  </si>
  <si>
    <t>MWh</t>
  </si>
  <si>
    <t>Year</t>
  </si>
  <si>
    <t>State</t>
  </si>
  <si>
    <t>Washington Total</t>
  </si>
  <si>
    <t>Assumptions</t>
  </si>
  <si>
    <t>Loss Calculation</t>
  </si>
  <si>
    <t>Renewable Energy After REC/Specified Power Sales</t>
  </si>
  <si>
    <t>Small PURPA Generation</t>
  </si>
  <si>
    <t>Specified Sales (MWh)</t>
  </si>
  <si>
    <t>RECs (MWh)</t>
  </si>
  <si>
    <t>Total RECs &amp; Specified Sales (MWh)</t>
  </si>
  <si>
    <t>Clean Energy Totals (MWh)</t>
  </si>
  <si>
    <t>Data from FERC Form 1</t>
  </si>
  <si>
    <t xml:space="preserve">Enel X North America </t>
  </si>
  <si>
    <t>Clark Fork Hydro</t>
  </si>
  <si>
    <t>HydroTech/ Meyers Falls</t>
  </si>
  <si>
    <t>See "Small PURPA" sheet</t>
  </si>
  <si>
    <t>Renewable Energy Under Utility Control with Median Hydro Conditions</t>
  </si>
  <si>
    <t>Nine Mile</t>
  </si>
  <si>
    <t>Priest Rapids</t>
  </si>
  <si>
    <t>Rock Island</t>
  </si>
  <si>
    <t>Rocky Reach</t>
  </si>
  <si>
    <t>Wanapum</t>
  </si>
  <si>
    <t>Canadian Entitlement</t>
  </si>
  <si>
    <t>Wells</t>
  </si>
  <si>
    <t>aMW</t>
  </si>
  <si>
    <t>Hours</t>
  </si>
  <si>
    <t>Owned Hydro</t>
  </si>
  <si>
    <t>Contracted Mid-C Hydro Share</t>
  </si>
  <si>
    <t>Mid-Columbia Project Generation</t>
  </si>
  <si>
    <t>Avista Share of Mid-Columbia Project Generation</t>
  </si>
  <si>
    <t>Annual</t>
  </si>
  <si>
    <t>Total Hydro</t>
  </si>
  <si>
    <t>Avista Median Hydro Estimates</t>
  </si>
  <si>
    <t>2020 Actual</t>
  </si>
  <si>
    <t>Total Owned Hydro</t>
  </si>
  <si>
    <t>Total Mid-C Hydro</t>
  </si>
  <si>
    <t>aMW Delta</t>
  </si>
  <si>
    <t>Median Hydro is defined as the monthly median generation for each project between the 80 years of 1928/29 and 2007/08</t>
  </si>
  <si>
    <t>Idaho Share</t>
  </si>
  <si>
    <t>Available Transfers from ID to WA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</si>
</sst>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#,##0.0_);[Red]\(#,##0.0\)"/>
    <numFmt numFmtId="167" formatCode="_(* #,##0.0_);_(* \(#,##0.0\);_(* &quot;-&quot;??_);_(@_)"/>
    <numFmt numFmtId="169" formatCode="#,##0.0"/>
  </numFmts>
  <fonts count="24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sz val="10"/>
      <color indexed="12"/>
      <name val="Arial"/>
      <family val="2"/>
    </font>
    <font>
      <sz val="11"/>
      <color rgb="FF006100"/>
      <name val="Arial"/>
      <family val="2"/>
    </font>
    <font>
      <sz val="12"/>
      <color rgb="FF9C0006"/>
      <name val="Calibri"/>
      <family val="2"/>
      <scheme val="minor"/>
    </font>
    <font>
      <sz val="12"/>
      <color rgb="FF006100"/>
      <name val="Calibri"/>
      <family val="2"/>
      <scheme val="minor"/>
    </font>
    <font>
      <sz val="12"/>
      <name val="Courier"/>
      <family val="3"/>
    </font>
    <font>
      <b/>
      <sz val="10"/>
      <color rgb="FFFFFFFF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u/>
      <sz val="10"/>
      <color theme="10"/>
      <name val="Arial"/>
      <family val="2"/>
    </font>
    <font>
      <b/>
      <sz val="18"/>
      <color theme="1"/>
      <name val="Arial"/>
      <family val="2"/>
    </font>
    <font>
      <sz val="10"/>
      <color rgb="FFFF0000"/>
      <name val="Arial"/>
      <family val="2"/>
    </font>
    <font>
      <b/>
      <sz val="14"/>
      <color theme="1"/>
      <name val="Arial"/>
      <family val="2"/>
    </font>
    <font>
      <b/>
      <sz val="16"/>
      <color theme="1"/>
      <name val="Arial"/>
      <family val="2"/>
    </font>
    <font>
      <b/>
      <u/>
      <sz val="10"/>
      <color theme="1"/>
      <name val="Arial"/>
      <family val="2"/>
    </font>
    <font>
      <b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indexed="44"/>
      </patternFill>
    </fill>
    <fill>
      <patternFill patternType="solid">
        <fgColor indexed="44"/>
        <bgColor indexed="64"/>
      </patternFill>
    </fill>
    <fill>
      <patternFill patternType="solid">
        <fgColor rgb="FF0076BE"/>
        <bgColor indexed="64"/>
      </patternFill>
    </fill>
  </fills>
  <borders count="1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63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8" fillId="0" borderId="0"/>
    <xf numFmtId="0" fontId="9" fillId="0" borderId="0" applyNumberFormat="0" applyFill="0" applyBorder="0" applyAlignment="0">
      <protection locked="0"/>
    </xf>
    <xf numFmtId="0" fontId="8" fillId="4" borderId="0" applyNumberFormat="0" applyBorder="0" applyAlignment="0">
      <protection locked="0"/>
    </xf>
    <xf numFmtId="43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0" fillId="2" borderId="0" applyNumberFormat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7" fillId="0" borderId="0"/>
    <xf numFmtId="0" fontId="2" fillId="0" borderId="0"/>
    <xf numFmtId="0" fontId="7" fillId="0" borderId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7" fillId="0" borderId="0"/>
    <xf numFmtId="0" fontId="2" fillId="0" borderId="0"/>
    <xf numFmtId="0" fontId="7" fillId="0" borderId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11" fillId="3" borderId="0" applyNumberFormat="0" applyBorder="0" applyAlignment="0" applyProtection="0"/>
    <xf numFmtId="0" fontId="12" fillId="2" borderId="0" applyNumberFormat="0" applyBorder="0" applyAlignment="0" applyProtection="0"/>
    <xf numFmtId="0" fontId="8" fillId="0" borderId="0"/>
    <xf numFmtId="0" fontId="8" fillId="0" borderId="0"/>
    <xf numFmtId="0" fontId="13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 applyNumberFormat="0" applyFont="0" applyFill="0" applyBorder="0" applyAlignment="0">
      <protection locked="0"/>
    </xf>
    <xf numFmtId="0" fontId="1" fillId="5" borderId="0" applyNumberFormat="0" applyBorder="0" applyAlignment="0">
      <protection locked="0"/>
    </xf>
    <xf numFmtId="9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1" fillId="0" borderId="0"/>
    <xf numFmtId="0" fontId="17" fillId="0" borderId="0" applyNumberFormat="0" applyFill="0" applyBorder="0" applyAlignment="0" applyProtection="0"/>
  </cellStyleXfs>
  <cellXfs count="83">
    <xf numFmtId="0" fontId="0" fillId="0" borderId="0" xfId="0"/>
    <xf numFmtId="164" fontId="0" fillId="0" borderId="0" xfId="1" applyNumberFormat="1" applyFont="1"/>
    <xf numFmtId="164" fontId="0" fillId="0" borderId="0" xfId="0" applyNumberFormat="1"/>
    <xf numFmtId="0" fontId="0" fillId="0" borderId="0" xfId="0" applyFill="1"/>
    <xf numFmtId="164" fontId="0" fillId="0" borderId="0" xfId="1" applyNumberFormat="1" applyFont="1" applyFill="1" applyAlignment="1">
      <alignment wrapText="1"/>
    </xf>
    <xf numFmtId="10" fontId="0" fillId="0" borderId="0" xfId="2" applyNumberFormat="1" applyFont="1"/>
    <xf numFmtId="10" fontId="0" fillId="0" borderId="0" xfId="2" applyNumberFormat="1" applyFont="1" applyAlignment="1">
      <alignment wrapText="1"/>
    </xf>
    <xf numFmtId="10" fontId="0" fillId="0" borderId="0" xfId="2" applyNumberFormat="1" applyFont="1" applyFill="1"/>
    <xf numFmtId="0" fontId="0" fillId="0" borderId="0" xfId="0"/>
    <xf numFmtId="0" fontId="17" fillId="0" borderId="0" xfId="62" applyAlignment="1">
      <alignment horizontal="justify" vertical="center"/>
    </xf>
    <xf numFmtId="0" fontId="14" fillId="6" borderId="9" xfId="0" applyFont="1" applyFill="1" applyBorder="1" applyAlignment="1">
      <alignment horizontal="righ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 indent="1"/>
    </xf>
    <xf numFmtId="0" fontId="5" fillId="0" borderId="9" xfId="0" applyFont="1" applyBorder="1" applyAlignment="1">
      <alignment horizontal="left" vertical="center" wrapText="1"/>
    </xf>
    <xf numFmtId="0" fontId="15" fillId="0" borderId="9" xfId="0" applyFont="1" applyBorder="1" applyAlignment="1">
      <alignment horizontal="left" vertical="center" wrapText="1"/>
    </xf>
    <xf numFmtId="0" fontId="16" fillId="0" borderId="9" xfId="0" applyFont="1" applyBorder="1" applyAlignment="1">
      <alignment horizontal="left" vertical="center" wrapText="1"/>
    </xf>
    <xf numFmtId="0" fontId="15" fillId="0" borderId="9" xfId="0" applyFont="1" applyBorder="1" applyAlignment="1">
      <alignment horizontal="justify" vertical="center" wrapText="1"/>
    </xf>
    <xf numFmtId="0" fontId="0" fillId="0" borderId="9" xfId="0" applyFill="1" applyBorder="1" applyAlignment="1">
      <alignment horizontal="left" indent="1"/>
    </xf>
    <xf numFmtId="3" fontId="2" fillId="0" borderId="9" xfId="0" applyNumberFormat="1" applyFont="1" applyBorder="1" applyAlignment="1">
      <alignment horizontal="right" vertical="center" wrapText="1"/>
    </xf>
    <xf numFmtId="3" fontId="15" fillId="0" borderId="9" xfId="0" applyNumberFormat="1" applyFont="1" applyBorder="1" applyAlignment="1">
      <alignment horizontal="right" vertical="center" wrapText="1"/>
    </xf>
    <xf numFmtId="3" fontId="16" fillId="0" borderId="9" xfId="0" applyNumberFormat="1" applyFont="1" applyBorder="1" applyAlignment="1">
      <alignment horizontal="right" vertical="center" wrapText="1"/>
    </xf>
    <xf numFmtId="10" fontId="0" fillId="0" borderId="0" xfId="0" applyNumberFormat="1"/>
    <xf numFmtId="0" fontId="5" fillId="0" borderId="9" xfId="0" applyFont="1" applyBorder="1" applyAlignment="1">
      <alignment horizontal="left" vertical="center" wrapText="1" indent="2"/>
    </xf>
    <xf numFmtId="3" fontId="5" fillId="0" borderId="9" xfId="0" applyNumberFormat="1" applyFont="1" applyBorder="1" applyAlignment="1">
      <alignment horizontal="right" vertical="center" wrapText="1"/>
    </xf>
    <xf numFmtId="165" fontId="16" fillId="0" borderId="9" xfId="2" applyNumberFormat="1" applyFont="1" applyBorder="1" applyAlignment="1">
      <alignment horizontal="right" vertical="center" wrapText="1"/>
    </xf>
    <xf numFmtId="3" fontId="0" fillId="0" borderId="0" xfId="0" applyNumberFormat="1"/>
    <xf numFmtId="0" fontId="18" fillId="0" borderId="0" xfId="0" applyFont="1"/>
    <xf numFmtId="0" fontId="5" fillId="0" borderId="0" xfId="0" applyFont="1" applyAlignment="1">
      <alignment horizontal="right"/>
    </xf>
    <xf numFmtId="0" fontId="5" fillId="0" borderId="0" xfId="0" applyFont="1"/>
    <xf numFmtId="0" fontId="5" fillId="0" borderId="0" xfId="0" applyFont="1" applyAlignment="1">
      <alignment horizontal="left" wrapText="1"/>
    </xf>
    <xf numFmtId="0" fontId="6" fillId="0" borderId="0" xfId="0" applyFont="1"/>
    <xf numFmtId="164" fontId="2" fillId="0" borderId="0" xfId="1" applyNumberFormat="1" applyFont="1"/>
    <xf numFmtId="0" fontId="19" fillId="0" borderId="0" xfId="0" applyFont="1"/>
    <xf numFmtId="3" fontId="0" fillId="0" borderId="0" xfId="1" applyNumberFormat="1" applyFont="1"/>
    <xf numFmtId="0" fontId="20" fillId="0" borderId="0" xfId="0" applyFont="1"/>
    <xf numFmtId="0" fontId="0" fillId="0" borderId="0" xfId="0" applyFill="1" applyBorder="1"/>
    <xf numFmtId="0" fontId="0" fillId="0" borderId="0" xfId="0" applyBorder="1"/>
    <xf numFmtId="3" fontId="15" fillId="0" borderId="0" xfId="0" applyNumberFormat="1" applyFont="1" applyBorder="1" applyAlignment="1">
      <alignment horizontal="right" vertical="center" wrapText="1"/>
    </xf>
    <xf numFmtId="0" fontId="21" fillId="0" borderId="0" xfId="0" applyFont="1"/>
    <xf numFmtId="0" fontId="14" fillId="6" borderId="9" xfId="0" applyFont="1" applyFill="1" applyBorder="1" applyAlignment="1">
      <alignment horizontal="left" vertical="center" wrapText="1"/>
    </xf>
    <xf numFmtId="0" fontId="20" fillId="0" borderId="0" xfId="0" applyFont="1" applyFill="1"/>
    <xf numFmtId="0" fontId="5" fillId="0" borderId="1" xfId="0" applyFont="1" applyFill="1" applyBorder="1"/>
    <xf numFmtId="0" fontId="5" fillId="0" borderId="2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0" fillId="0" borderId="4" xfId="0" applyFill="1" applyBorder="1"/>
    <xf numFmtId="164" fontId="0" fillId="0" borderId="0" xfId="1" applyNumberFormat="1" applyFont="1" applyFill="1" applyBorder="1"/>
    <xf numFmtId="164" fontId="0" fillId="0" borderId="5" xfId="1" applyNumberFormat="1" applyFont="1" applyFill="1" applyBorder="1"/>
    <xf numFmtId="0" fontId="0" fillId="0" borderId="5" xfId="0" applyFill="1" applyBorder="1"/>
    <xf numFmtId="0" fontId="5" fillId="0" borderId="4" xfId="0" applyFont="1" applyFill="1" applyBorder="1"/>
    <xf numFmtId="0" fontId="5" fillId="0" borderId="6" xfId="0" applyFont="1" applyFill="1" applyBorder="1"/>
    <xf numFmtId="164" fontId="5" fillId="0" borderId="7" xfId="0" applyNumberFormat="1" applyFont="1" applyFill="1" applyBorder="1"/>
    <xf numFmtId="164" fontId="5" fillId="0" borderId="8" xfId="0" applyNumberFormat="1" applyFont="1" applyFill="1" applyBorder="1"/>
    <xf numFmtId="0" fontId="21" fillId="0" borderId="0" xfId="0" applyFont="1" applyFill="1" applyBorder="1"/>
    <xf numFmtId="0" fontId="5" fillId="0" borderId="0" xfId="0" applyFont="1" applyFill="1" applyBorder="1"/>
    <xf numFmtId="0" fontId="5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2" fillId="0" borderId="0" xfId="0" applyFont="1" applyFill="1" applyBorder="1" applyAlignment="1">
      <alignment horizontal="center"/>
    </xf>
    <xf numFmtId="164" fontId="0" fillId="0" borderId="0" xfId="1" applyNumberFormat="1" applyFont="1" applyFill="1" applyBorder="1" applyAlignment="1">
      <alignment horizontal="right"/>
    </xf>
    <xf numFmtId="164" fontId="5" fillId="0" borderId="0" xfId="1" applyNumberFormat="1" applyFont="1" applyFill="1" applyBorder="1" applyAlignment="1">
      <alignment horizontal="right"/>
    </xf>
    <xf numFmtId="0" fontId="0" fillId="0" borderId="0" xfId="0" applyFont="1" applyFill="1" applyBorder="1"/>
    <xf numFmtId="0" fontId="5" fillId="0" borderId="0" xfId="0" applyFont="1" applyFill="1" applyBorder="1" applyAlignment="1">
      <alignment horizontal="right"/>
    </xf>
    <xf numFmtId="166" fontId="0" fillId="0" borderId="0" xfId="0" applyNumberFormat="1" applyFill="1" applyBorder="1"/>
    <xf numFmtId="166" fontId="8" fillId="0" borderId="0" xfId="48" quotePrefix="1" applyNumberFormat="1" applyFill="1" applyBorder="1" applyAlignment="1">
      <alignment horizontal="left"/>
    </xf>
    <xf numFmtId="0" fontId="0" fillId="0" borderId="0" xfId="0" applyFill="1" applyBorder="1" applyAlignment="1">
      <alignment horizontal="right"/>
    </xf>
    <xf numFmtId="0" fontId="22" fillId="0" borderId="0" xfId="0" applyFont="1" applyFill="1" applyBorder="1"/>
    <xf numFmtId="166" fontId="22" fillId="0" borderId="0" xfId="0" applyNumberFormat="1" applyFont="1" applyFill="1" applyBorder="1"/>
    <xf numFmtId="167" fontId="0" fillId="0" borderId="0" xfId="0" applyNumberFormat="1" applyFill="1" applyBorder="1"/>
    <xf numFmtId="165" fontId="0" fillId="0" borderId="0" xfId="2" applyNumberFormat="1" applyFont="1" applyFill="1" applyBorder="1" applyAlignment="1">
      <alignment horizontal="right"/>
    </xf>
    <xf numFmtId="169" fontId="0" fillId="0" borderId="0" xfId="1" applyNumberFormat="1" applyFont="1" applyFill="1" applyBorder="1" applyAlignment="1">
      <alignment horizontal="right"/>
    </xf>
    <xf numFmtId="169" fontId="0" fillId="0" borderId="0" xfId="1" applyNumberFormat="1" applyFont="1" applyFill="1" applyBorder="1"/>
    <xf numFmtId="169" fontId="0" fillId="0" borderId="0" xfId="0" applyNumberFormat="1" applyFill="1" applyBorder="1"/>
    <xf numFmtId="3" fontId="0" fillId="0" borderId="0" xfId="0" applyNumberFormat="1" applyFill="1" applyBorder="1"/>
    <xf numFmtId="3" fontId="0" fillId="0" borderId="0" xfId="1" applyNumberFormat="1" applyFont="1" applyFill="1" applyBorder="1" applyAlignment="1">
      <alignment horizontal="right"/>
    </xf>
    <xf numFmtId="166" fontId="5" fillId="0" borderId="0" xfId="0" applyNumberFormat="1" applyFont="1" applyFill="1" applyBorder="1" applyAlignment="1">
      <alignment horizontal="left" indent="1"/>
    </xf>
    <xf numFmtId="169" fontId="5" fillId="0" borderId="0" xfId="1" applyNumberFormat="1" applyFont="1" applyFill="1" applyBorder="1" applyAlignment="1">
      <alignment horizontal="right"/>
    </xf>
    <xf numFmtId="3" fontId="5" fillId="0" borderId="0" xfId="0" applyNumberFormat="1" applyFont="1" applyFill="1" applyBorder="1"/>
    <xf numFmtId="167" fontId="5" fillId="0" borderId="0" xfId="0" applyNumberFormat="1" applyFont="1" applyFill="1" applyBorder="1"/>
    <xf numFmtId="3" fontId="5" fillId="0" borderId="0" xfId="1" applyNumberFormat="1" applyFont="1" applyFill="1" applyBorder="1" applyAlignment="1">
      <alignment horizontal="right"/>
    </xf>
    <xf numFmtId="166" fontId="23" fillId="0" borderId="0" xfId="48" quotePrefix="1" applyNumberFormat="1" applyFont="1" applyFill="1" applyBorder="1" applyAlignment="1">
      <alignment horizontal="left" indent="1"/>
    </xf>
    <xf numFmtId="3" fontId="0" fillId="0" borderId="0" xfId="1" applyNumberFormat="1" applyFont="1" applyFill="1" applyBorder="1"/>
    <xf numFmtId="0" fontId="5" fillId="0" borderId="10" xfId="0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0" xfId="0" applyFont="1" applyAlignment="1">
      <alignment horizontal="center" wrapText="1"/>
    </xf>
  </cellXfs>
  <cellStyles count="63">
    <cellStyle name="Adjustable" xfId="4" xr:uid="{AC8E7519-75B2-45A1-ABE8-E771ECB9490D}"/>
    <cellStyle name="Adjustable 2" xfId="57" xr:uid="{374A79FC-AF61-4757-81B6-51FD6A7977CD}"/>
    <cellStyle name="Bad 2" xfId="46" xr:uid="{3F2676AE-DD8B-4E96-AEBB-6E60E13B7825}"/>
    <cellStyle name="Best" xfId="5" xr:uid="{040ACC50-5C52-4E52-9552-A248760E7ECE}"/>
    <cellStyle name="Best 2" xfId="58" xr:uid="{6A09601D-E7BB-4B96-A6C0-56151644750B}"/>
    <cellStyle name="Comma" xfId="1" builtinId="3"/>
    <cellStyle name="Comma 2" xfId="10" xr:uid="{24373F18-294E-4F5C-B9AE-A05388187516}"/>
    <cellStyle name="Comma 2 2" xfId="12" xr:uid="{3A9D5D27-50D6-4C24-9E52-9BAF4212D8EF}"/>
    <cellStyle name="Comma 2 2 2" xfId="28" xr:uid="{5EDBCD6C-B4E5-4DC3-A82D-583C002BAB95}"/>
    <cellStyle name="Comma 2 2 2 2" xfId="44" xr:uid="{822AFDD0-CC21-454A-966D-25C3C14ED19F}"/>
    <cellStyle name="Comma 2 2 3" xfId="38" xr:uid="{FCBBBA59-E469-4BE8-9756-DD6E2CA1957D}"/>
    <cellStyle name="Comma 2 3" xfId="17" xr:uid="{45BC5435-35B0-4201-84D7-04A0C1403D72}"/>
    <cellStyle name="Comma 2 3 2" xfId="29" xr:uid="{FB86CFB6-F991-47AB-A42F-697AE62AF14F}"/>
    <cellStyle name="Comma 2 3 2 2" xfId="45" xr:uid="{EDE71532-F9C4-40EE-93FC-0D8B76555E20}"/>
    <cellStyle name="Comma 2 3 3" xfId="39" xr:uid="{C6C43032-69E8-49A3-B4D5-DD240CD259F1}"/>
    <cellStyle name="Comma 2 4" xfId="24" xr:uid="{5BCCD5A8-DC55-425B-8E1C-B1F0B5B5B6A3}"/>
    <cellStyle name="Comma 2 4 2" xfId="42" xr:uid="{4F8E4C4E-6BD2-462B-A589-1B8FD69B115B}"/>
    <cellStyle name="Comma 2 5" xfId="34" xr:uid="{D0F1EC61-62FC-4533-A60B-09F46A9A36BA}"/>
    <cellStyle name="Comma 3" xfId="6" xr:uid="{4C3556B0-89AE-4105-B889-74C6509A4AEC}"/>
    <cellStyle name="Comma 4" xfId="14" xr:uid="{8B4FE330-41F5-4E3B-A3B3-45C00D06F33F}"/>
    <cellStyle name="Comma 5" xfId="25" xr:uid="{EBD53C26-FAAD-463C-894F-F5CDF5E09535}"/>
    <cellStyle name="Comma 6" xfId="35" xr:uid="{144D0B9A-46FB-4B23-8C8A-9CC0F2AB277F}"/>
    <cellStyle name="Comma 7" xfId="52" xr:uid="{DDB69000-971E-4071-94FD-53CC816E5768}"/>
    <cellStyle name="Comma 8" xfId="56" xr:uid="{E8C2796E-1DF3-4BDB-8DC9-81F827EA4B33}"/>
    <cellStyle name="Currency 2" xfId="15" xr:uid="{ECA49A4B-D70C-422C-818C-4532EA9EA3E5}"/>
    <cellStyle name="Currency 2 2" xfId="60" xr:uid="{949EF92D-F4F7-4BCA-9992-855771C7D4BE}"/>
    <cellStyle name="Currency 3" xfId="30" xr:uid="{77002B05-C86C-4AE2-919D-6852031B824D}"/>
    <cellStyle name="Currency 4" xfId="53" xr:uid="{B6C0F5B7-AF0E-4929-B5F5-D56A0F77E9F3}"/>
    <cellStyle name="Good 2" xfId="8" xr:uid="{712498F0-71B5-4F7C-AE95-2440A2484BC6}"/>
    <cellStyle name="Good 3" xfId="47" xr:uid="{A6345869-5B6D-4BD8-A58E-EC79B4E9CCD2}"/>
    <cellStyle name="Hyperlink" xfId="62" builtinId="8"/>
    <cellStyle name="Normal" xfId="0" builtinId="0"/>
    <cellStyle name="Normal 10" xfId="51" xr:uid="{06A7DFCC-64BB-4EFB-8903-8900C597094A}"/>
    <cellStyle name="Normal 11" xfId="55" xr:uid="{E962D0AB-F01F-446A-9ADD-441E346419B8}"/>
    <cellStyle name="Normal 2" xfId="9" xr:uid="{A9284C3D-E923-4228-A5B7-7B53AF385D1C}"/>
    <cellStyle name="Normal 2 2" xfId="11" xr:uid="{DF7B9CFF-01A0-44EE-A6C4-1DFDCEDF909B}"/>
    <cellStyle name="Normal 2 2 2" xfId="27" xr:uid="{162686EB-C96B-40DA-AB44-EF4269324FCA}"/>
    <cellStyle name="Normal 2 2 2 2" xfId="43" xr:uid="{C402D3EA-3B4E-4ABB-BEA7-F1631EDFF59E}"/>
    <cellStyle name="Normal 2 2 3" xfId="37" xr:uid="{B14B8888-0E40-4A49-A64F-FD841BB362C3}"/>
    <cellStyle name="Normal 2 3" xfId="23" xr:uid="{FEF488A4-6DF7-4F0C-B08C-8AF33A38052C}"/>
    <cellStyle name="Normal 2 3 2" xfId="41" xr:uid="{0623A83E-A273-49F3-A84B-9F276715AED0}"/>
    <cellStyle name="Normal 2 4" xfId="33" xr:uid="{376F315C-B8F4-4058-A6C1-EFBD5691A00F}"/>
    <cellStyle name="Normal 2 5" xfId="48" xr:uid="{1AAB6CA3-9DE2-4965-A0E5-8FE64220FC45}"/>
    <cellStyle name="Normal 3" xfId="3" xr:uid="{1770F623-4064-4DF3-9568-5DC73FB4A9F3}"/>
    <cellStyle name="Normal 3 2" xfId="50" xr:uid="{B9CC1CC8-E717-4E35-9E37-65264E3DED0E}"/>
    <cellStyle name="Normal 4" xfId="13" xr:uid="{6DA0924C-1080-4E48-9080-9B7439C7B2BD}"/>
    <cellStyle name="Normal 5" xfId="22" xr:uid="{BCD242B0-D287-4B36-91D4-F0CB7585312E}"/>
    <cellStyle name="Normal 52" xfId="19" xr:uid="{029CD138-C54F-49C9-8F1F-44AA3B5B14A4}"/>
    <cellStyle name="Normal 52 2" xfId="61" xr:uid="{33FF7AC1-B96D-4073-A829-EB2C63BF34EC}"/>
    <cellStyle name="Normal 53" xfId="20" xr:uid="{79B280AA-1F84-4A42-A847-D4832112ACBD}"/>
    <cellStyle name="Normal 54" xfId="18" xr:uid="{906D032B-99C0-4C80-869C-88E8C207BBEB}"/>
    <cellStyle name="Normal 6" xfId="21" xr:uid="{ECA17016-7AA9-4CBB-98BE-2EEF0C8F3148}"/>
    <cellStyle name="Normal 6 2" xfId="40" xr:uid="{39F35C49-378F-42B8-ABFA-A4A1A126DAFD}"/>
    <cellStyle name="Normal 7" xfId="32" xr:uid="{C74D2818-8164-46FE-9AFC-BB16898E8338}"/>
    <cellStyle name="Normal 8" xfId="31" xr:uid="{818F9280-CE25-45E9-84FD-EF807C8D5070}"/>
    <cellStyle name="Normal 9" xfId="49" xr:uid="{798ED71C-804F-4A2C-9B6E-A89C24A56F52}"/>
    <cellStyle name="Percent" xfId="2" builtinId="5"/>
    <cellStyle name="Percent 2" xfId="7" xr:uid="{716196A6-7F2C-4895-B23D-3C94FE462F5F}"/>
    <cellStyle name="Percent 3" xfId="16" xr:uid="{017F80B2-0A65-4E1F-A105-6C796EB1CFB2}"/>
    <cellStyle name="Percent 4" xfId="26" xr:uid="{ECFB0C97-87DE-4B94-BF58-F99C1849A0CA}"/>
    <cellStyle name="Percent 5" xfId="36" xr:uid="{C2C65486-CA7C-42EC-93D4-A6CE62B8BC3B}"/>
    <cellStyle name="Percent 6" xfId="54" xr:uid="{BEEBC4D8-4292-47C6-991F-14201100C911}"/>
    <cellStyle name="Percent 7" xfId="59" xr:uid="{CD7D2B6E-10F3-4762-91FF-D91FA078A25E}"/>
  </cellStyles>
  <dxfs count="0"/>
  <tableStyles count="0" defaultTableStyle="TableStyleMedium2" defaultPivotStyle="PivotStyleLight16"/>
  <colors>
    <mruColors>
      <color rgb="FFFFDF00"/>
      <color rgb="FF0076B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166A06-B22E-4FA4-AB7D-A781AA0F8678}">
  <dimension ref="A1:AT43"/>
  <sheetViews>
    <sheetView tabSelected="1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E28" sqref="E28"/>
    </sheetView>
  </sheetViews>
  <sheetFormatPr defaultRowHeight="12.75" x14ac:dyDescent="0.2"/>
  <cols>
    <col min="1" max="1" width="16.7109375" customWidth="1"/>
    <col min="2" max="2" width="22.5703125" customWidth="1"/>
    <col min="3" max="14" width="12" customWidth="1"/>
    <col min="15" max="15" width="13.42578125" customWidth="1"/>
    <col min="16" max="16" width="13.42578125" style="8" customWidth="1"/>
    <col min="17" max="17" width="17.7109375" bestFit="1" customWidth="1"/>
    <col min="18" max="30" width="11.28515625" customWidth="1"/>
    <col min="32" max="32" width="17.7109375" bestFit="1" customWidth="1"/>
    <col min="33" max="45" width="11.140625" customWidth="1"/>
    <col min="46" max="46" width="17.7109375" customWidth="1"/>
  </cols>
  <sheetData>
    <row r="1" spans="1:46" ht="23.25" x14ac:dyDescent="0.35">
      <c r="A1" s="26" t="s">
        <v>84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</row>
    <row r="2" spans="1:46" x14ac:dyDescent="0.2">
      <c r="A2" s="32" t="s">
        <v>83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R2" s="81" t="s">
        <v>85</v>
      </c>
      <c r="S2" s="81"/>
      <c r="T2" s="81"/>
      <c r="U2" s="81"/>
      <c r="V2" s="81"/>
      <c r="W2" s="81"/>
      <c r="X2" s="81"/>
      <c r="Y2" s="81"/>
      <c r="Z2" s="81"/>
      <c r="AA2" s="81"/>
      <c r="AB2" s="81"/>
      <c r="AC2" s="81"/>
      <c r="AD2" s="81"/>
      <c r="AF2" s="8"/>
      <c r="AG2" s="81" t="s">
        <v>134</v>
      </c>
      <c r="AH2" s="81"/>
      <c r="AI2" s="81"/>
      <c r="AJ2" s="81"/>
      <c r="AK2" s="81"/>
      <c r="AL2" s="81"/>
      <c r="AM2" s="81"/>
      <c r="AN2" s="81"/>
      <c r="AO2" s="81"/>
      <c r="AP2" s="81"/>
      <c r="AQ2" s="81"/>
      <c r="AR2" s="81"/>
      <c r="AS2" s="81"/>
      <c r="AT2" s="82" t="s">
        <v>135</v>
      </c>
    </row>
    <row r="3" spans="1:46" x14ac:dyDescent="0.2">
      <c r="A3" s="8"/>
      <c r="B3" s="8"/>
      <c r="C3" s="27" t="s">
        <v>50</v>
      </c>
      <c r="D3" s="27" t="s">
        <v>51</v>
      </c>
      <c r="E3" s="27" t="s">
        <v>52</v>
      </c>
      <c r="F3" s="27" t="s">
        <v>53</v>
      </c>
      <c r="G3" s="27" t="s">
        <v>54</v>
      </c>
      <c r="H3" s="27" t="s">
        <v>55</v>
      </c>
      <c r="I3" s="27" t="s">
        <v>56</v>
      </c>
      <c r="J3" s="27" t="s">
        <v>57</v>
      </c>
      <c r="K3" s="27" t="s">
        <v>58</v>
      </c>
      <c r="L3" s="27" t="s">
        <v>59</v>
      </c>
      <c r="M3" s="27" t="s">
        <v>60</v>
      </c>
      <c r="N3" s="27" t="s">
        <v>61</v>
      </c>
      <c r="O3" s="8"/>
      <c r="R3" s="27" t="s">
        <v>50</v>
      </c>
      <c r="S3" s="27" t="s">
        <v>51</v>
      </c>
      <c r="T3" s="27" t="s">
        <v>52</v>
      </c>
      <c r="U3" s="27" t="s">
        <v>53</v>
      </c>
      <c r="V3" s="27" t="s">
        <v>54</v>
      </c>
      <c r="W3" s="27" t="s">
        <v>55</v>
      </c>
      <c r="X3" s="27" t="s">
        <v>56</v>
      </c>
      <c r="Y3" s="27" t="s">
        <v>57</v>
      </c>
      <c r="Z3" s="27" t="s">
        <v>58</v>
      </c>
      <c r="AA3" s="27" t="s">
        <v>59</v>
      </c>
      <c r="AB3" s="27" t="s">
        <v>60</v>
      </c>
      <c r="AC3" s="27" t="s">
        <v>61</v>
      </c>
      <c r="AD3" s="8"/>
      <c r="AF3" s="8"/>
      <c r="AG3" s="27" t="s">
        <v>50</v>
      </c>
      <c r="AH3" s="27" t="s">
        <v>51</v>
      </c>
      <c r="AI3" s="27" t="s">
        <v>52</v>
      </c>
      <c r="AJ3" s="27" t="s">
        <v>53</v>
      </c>
      <c r="AK3" s="27" t="s">
        <v>54</v>
      </c>
      <c r="AL3" s="27" t="s">
        <v>55</v>
      </c>
      <c r="AM3" s="27" t="s">
        <v>56</v>
      </c>
      <c r="AN3" s="27" t="s">
        <v>57</v>
      </c>
      <c r="AO3" s="27" t="s">
        <v>58</v>
      </c>
      <c r="AP3" s="27" t="s">
        <v>59</v>
      </c>
      <c r="AQ3" s="27" t="s">
        <v>60</v>
      </c>
      <c r="AR3" s="27" t="s">
        <v>61</v>
      </c>
      <c r="AS3" s="8"/>
      <c r="AT3" s="82"/>
    </row>
    <row r="4" spans="1:46" x14ac:dyDescent="0.2">
      <c r="A4" s="28" t="s">
        <v>62</v>
      </c>
      <c r="B4" s="29" t="s">
        <v>63</v>
      </c>
      <c r="C4" s="28">
        <v>1</v>
      </c>
      <c r="D4" s="28">
        <v>2</v>
      </c>
      <c r="E4" s="28">
        <v>3</v>
      </c>
      <c r="F4" s="28">
        <v>4</v>
      </c>
      <c r="G4" s="28">
        <v>5</v>
      </c>
      <c r="H4" s="28">
        <v>6</v>
      </c>
      <c r="I4" s="28">
        <v>7</v>
      </c>
      <c r="J4" s="28">
        <v>8</v>
      </c>
      <c r="K4" s="28">
        <v>9</v>
      </c>
      <c r="L4" s="28">
        <v>10</v>
      </c>
      <c r="M4" s="28">
        <v>11</v>
      </c>
      <c r="N4" s="28">
        <v>12</v>
      </c>
      <c r="O4" s="27" t="s">
        <v>15</v>
      </c>
      <c r="P4" s="27"/>
      <c r="Q4" s="28" t="s">
        <v>86</v>
      </c>
      <c r="R4" s="28">
        <v>1</v>
      </c>
      <c r="S4" s="28">
        <v>2</v>
      </c>
      <c r="T4" s="28">
        <v>3</v>
      </c>
      <c r="U4" s="28">
        <v>4</v>
      </c>
      <c r="V4" s="28">
        <v>5</v>
      </c>
      <c r="W4" s="28">
        <v>6</v>
      </c>
      <c r="X4" s="28">
        <v>7</v>
      </c>
      <c r="Y4" s="28">
        <v>8</v>
      </c>
      <c r="Z4" s="28">
        <v>9</v>
      </c>
      <c r="AA4" s="28">
        <v>10</v>
      </c>
      <c r="AB4" s="28">
        <v>11</v>
      </c>
      <c r="AC4" s="28">
        <v>12</v>
      </c>
      <c r="AD4" s="27" t="s">
        <v>15</v>
      </c>
      <c r="AF4" s="28" t="s">
        <v>86</v>
      </c>
      <c r="AG4" s="28">
        <v>1</v>
      </c>
      <c r="AH4" s="28">
        <v>2</v>
      </c>
      <c r="AI4" s="28">
        <v>3</v>
      </c>
      <c r="AJ4" s="28">
        <v>4</v>
      </c>
      <c r="AK4" s="28">
        <v>5</v>
      </c>
      <c r="AL4" s="28">
        <v>6</v>
      </c>
      <c r="AM4" s="28">
        <v>7</v>
      </c>
      <c r="AN4" s="28">
        <v>8</v>
      </c>
      <c r="AO4" s="28">
        <v>9</v>
      </c>
      <c r="AP4" s="28">
        <v>10</v>
      </c>
      <c r="AQ4" s="28">
        <v>11</v>
      </c>
      <c r="AR4" s="28">
        <v>12</v>
      </c>
      <c r="AS4" s="27" t="s">
        <v>15</v>
      </c>
    </row>
    <row r="5" spans="1:46" x14ac:dyDescent="0.2">
      <c r="A5" s="28"/>
      <c r="B5" s="29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7"/>
      <c r="P5" s="27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</row>
    <row r="6" spans="1:46" x14ac:dyDescent="0.2">
      <c r="A6" s="30" t="s">
        <v>64</v>
      </c>
      <c r="B6" s="29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7"/>
      <c r="P6" s="27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</row>
    <row r="7" spans="1:46" x14ac:dyDescent="0.2">
      <c r="A7" s="8" t="s">
        <v>2</v>
      </c>
      <c r="B7" s="8" t="s">
        <v>49</v>
      </c>
      <c r="C7" s="1">
        <v>956</v>
      </c>
      <c r="D7" s="1">
        <v>2700</v>
      </c>
      <c r="E7" s="1">
        <v>3968</v>
      </c>
      <c r="F7" s="1">
        <v>4933</v>
      </c>
      <c r="G7" s="1">
        <v>5240</v>
      </c>
      <c r="H7" s="1">
        <v>5464</v>
      </c>
      <c r="I7" s="1">
        <v>6589</v>
      </c>
      <c r="J7" s="1">
        <v>5750</v>
      </c>
      <c r="K7" s="1">
        <v>3943</v>
      </c>
      <c r="L7" s="1">
        <v>3198</v>
      </c>
      <c r="M7" s="1">
        <v>1646</v>
      </c>
      <c r="N7" s="1">
        <v>894</v>
      </c>
      <c r="O7" s="1">
        <f>SUM(C7:N7)</f>
        <v>45281</v>
      </c>
      <c r="P7" s="1"/>
      <c r="Q7" t="s">
        <v>23</v>
      </c>
      <c r="R7" s="25">
        <f>C7</f>
        <v>956</v>
      </c>
      <c r="S7" s="25">
        <f t="shared" ref="S7:AC7" si="0">D7</f>
        <v>2700</v>
      </c>
      <c r="T7" s="25">
        <f t="shared" si="0"/>
        <v>3968</v>
      </c>
      <c r="U7" s="25">
        <f t="shared" si="0"/>
        <v>4933</v>
      </c>
      <c r="V7" s="25">
        <f t="shared" si="0"/>
        <v>5240</v>
      </c>
      <c r="W7" s="25">
        <f t="shared" si="0"/>
        <v>5464</v>
      </c>
      <c r="X7" s="25">
        <f t="shared" si="0"/>
        <v>6589</v>
      </c>
      <c r="Y7" s="25">
        <f t="shared" si="0"/>
        <v>5750</v>
      </c>
      <c r="Z7" s="25">
        <f t="shared" si="0"/>
        <v>3943</v>
      </c>
      <c r="AA7" s="25">
        <f t="shared" si="0"/>
        <v>3198</v>
      </c>
      <c r="AB7" s="25">
        <f t="shared" si="0"/>
        <v>1646</v>
      </c>
      <c r="AC7" s="25">
        <f t="shared" si="0"/>
        <v>894</v>
      </c>
      <c r="AD7" s="25">
        <f t="shared" ref="AD7:AD21" si="1">SUM(R7:AC7)</f>
        <v>45281</v>
      </c>
      <c r="AF7" s="8" t="s">
        <v>23</v>
      </c>
      <c r="AG7" s="25">
        <v>0</v>
      </c>
      <c r="AH7" s="25">
        <v>0</v>
      </c>
      <c r="AI7" s="25">
        <v>0</v>
      </c>
      <c r="AJ7" s="25">
        <v>0</v>
      </c>
      <c r="AK7" s="25">
        <v>0</v>
      </c>
      <c r="AL7" s="25">
        <v>0</v>
      </c>
      <c r="AM7" s="25">
        <v>0</v>
      </c>
      <c r="AN7" s="25">
        <v>0</v>
      </c>
      <c r="AO7" s="25">
        <v>0</v>
      </c>
      <c r="AP7" s="25">
        <v>0</v>
      </c>
      <c r="AQ7" s="25">
        <v>0</v>
      </c>
      <c r="AR7" s="25">
        <v>0</v>
      </c>
      <c r="AS7" s="25">
        <f t="shared" ref="AS7:AS21" si="2">SUM(AG7:AR7)</f>
        <v>0</v>
      </c>
      <c r="AT7" s="25">
        <v>0</v>
      </c>
    </row>
    <row r="8" spans="1:46" x14ac:dyDescent="0.2">
      <c r="A8" s="8" t="s">
        <v>65</v>
      </c>
      <c r="B8" s="8" t="s">
        <v>36</v>
      </c>
      <c r="C8" s="1">
        <v>115274</v>
      </c>
      <c r="D8" s="1">
        <v>94629</v>
      </c>
      <c r="E8" s="1">
        <v>81537</v>
      </c>
      <c r="F8" s="1">
        <v>127902</v>
      </c>
      <c r="G8" s="1">
        <v>279998</v>
      </c>
      <c r="H8" s="1">
        <v>229768</v>
      </c>
      <c r="I8" s="1">
        <v>205294</v>
      </c>
      <c r="J8" s="1">
        <v>89390</v>
      </c>
      <c r="K8" s="1">
        <v>61108</v>
      </c>
      <c r="L8" s="1">
        <v>88227</v>
      </c>
      <c r="M8" s="1">
        <v>114069</v>
      </c>
      <c r="N8" s="1">
        <v>109216</v>
      </c>
      <c r="O8" s="1">
        <f t="shared" ref="O8:O22" si="3">SUM(C8:N8)</f>
        <v>1596412</v>
      </c>
      <c r="P8" s="1"/>
      <c r="Q8" t="s">
        <v>87</v>
      </c>
      <c r="R8" s="25">
        <f>C8*Assumptions!$B$3</f>
        <v>75677.380999999994</v>
      </c>
      <c r="S8" s="25">
        <f>D8*Assumptions!$B$3</f>
        <v>62123.938499999997</v>
      </c>
      <c r="T8" s="25">
        <f>E8*Assumptions!$B$3</f>
        <v>53529.040499999996</v>
      </c>
      <c r="U8" s="25">
        <f>F8*Assumptions!$B$3</f>
        <v>83967.663</v>
      </c>
      <c r="V8" s="25">
        <f>G8*Assumptions!$B$3</f>
        <v>183818.68700000001</v>
      </c>
      <c r="W8" s="25">
        <f>H8*Assumptions!$B$3</f>
        <v>150842.69199999998</v>
      </c>
      <c r="X8" s="25">
        <f>I8*Assumptions!$B$3</f>
        <v>134775.511</v>
      </c>
      <c r="Y8" s="25">
        <f>J8*Assumptions!$B$3</f>
        <v>58684.534999999996</v>
      </c>
      <c r="Z8" s="25">
        <f>K8*Assumptions!$B$3</f>
        <v>40117.402000000002</v>
      </c>
      <c r="AA8" s="25">
        <f>L8*Assumptions!$B$3</f>
        <v>57921.025499999996</v>
      </c>
      <c r="AB8" s="25">
        <f>M8*Assumptions!$B$3</f>
        <v>74886.29849999999</v>
      </c>
      <c r="AC8" s="25">
        <f>N8*Assumptions!$B$3</f>
        <v>71700.304000000004</v>
      </c>
      <c r="AD8" s="25">
        <f t="shared" si="1"/>
        <v>1048044.478</v>
      </c>
      <c r="AF8" s="8" t="s">
        <v>87</v>
      </c>
      <c r="AG8" s="25">
        <f>C8*Assumptions!$B$4</f>
        <v>39596.619000000006</v>
      </c>
      <c r="AH8" s="25">
        <f>D8*Assumptions!$B$4</f>
        <v>32505.061500000003</v>
      </c>
      <c r="AI8" s="25">
        <f>E8*Assumptions!$B$4</f>
        <v>28007.959500000001</v>
      </c>
      <c r="AJ8" s="25">
        <f>F8*Assumptions!$B$4</f>
        <v>43934.337000000007</v>
      </c>
      <c r="AK8" s="25">
        <f>G8*Assumptions!$B$4</f>
        <v>96179.313000000009</v>
      </c>
      <c r="AL8" s="25">
        <f>H8*Assumptions!$B$4</f>
        <v>78925.308000000005</v>
      </c>
      <c r="AM8" s="25">
        <f>I8*Assumptions!$B$4</f>
        <v>70518.489000000001</v>
      </c>
      <c r="AN8" s="25">
        <f>J8*Assumptions!$B$4</f>
        <v>30705.465000000004</v>
      </c>
      <c r="AO8" s="25">
        <f>K8*Assumptions!$B$4</f>
        <v>20990.598000000002</v>
      </c>
      <c r="AP8" s="25">
        <f>L8*Assumptions!$B$4</f>
        <v>30305.974500000004</v>
      </c>
      <c r="AQ8" s="25">
        <f>M8*Assumptions!$B$4</f>
        <v>39182.701500000003</v>
      </c>
      <c r="AR8" s="25">
        <f>N8*Assumptions!$B$4</f>
        <v>37515.696000000004</v>
      </c>
      <c r="AS8" s="25">
        <f t="shared" si="2"/>
        <v>548367.52200000011</v>
      </c>
      <c r="AT8" s="25">
        <v>0</v>
      </c>
    </row>
    <row r="9" spans="1:46" x14ac:dyDescent="0.2">
      <c r="A9" s="8" t="s">
        <v>65</v>
      </c>
      <c r="B9" s="8" t="s">
        <v>37</v>
      </c>
      <c r="C9" s="1">
        <v>75561</v>
      </c>
      <c r="D9" s="1">
        <v>63074</v>
      </c>
      <c r="E9" s="1">
        <v>55051</v>
      </c>
      <c r="F9" s="1">
        <v>80846</v>
      </c>
      <c r="G9" s="1">
        <v>142126</v>
      </c>
      <c r="H9" s="1">
        <v>151930</v>
      </c>
      <c r="I9" s="1">
        <v>132558</v>
      </c>
      <c r="J9" s="1">
        <v>57198</v>
      </c>
      <c r="K9" s="1">
        <v>40411</v>
      </c>
      <c r="L9" s="1">
        <v>57882</v>
      </c>
      <c r="M9" s="1">
        <v>73473</v>
      </c>
      <c r="N9" s="1">
        <v>72596</v>
      </c>
      <c r="O9" s="1">
        <f t="shared" si="3"/>
        <v>1002706</v>
      </c>
      <c r="P9" s="1"/>
      <c r="Q9" s="8" t="s">
        <v>87</v>
      </c>
      <c r="R9" s="25">
        <f>C9*Assumptions!$B$3</f>
        <v>49605.796499999997</v>
      </c>
      <c r="S9" s="25">
        <f>D9*Assumptions!$B$3</f>
        <v>41408.080999999998</v>
      </c>
      <c r="T9" s="25">
        <f>E9*Assumptions!$B$3</f>
        <v>36140.981500000002</v>
      </c>
      <c r="U9" s="25">
        <f>F9*Assumptions!$B$3</f>
        <v>53075.398999999998</v>
      </c>
      <c r="V9" s="25">
        <f>G9*Assumptions!$B$3</f>
        <v>93305.718999999997</v>
      </c>
      <c r="W9" s="25">
        <f>H9*Assumptions!$B$3</f>
        <v>99742.044999999998</v>
      </c>
      <c r="X9" s="25">
        <f>I9*Assumptions!$B$3</f>
        <v>87024.32699999999</v>
      </c>
      <c r="Y9" s="25">
        <f>J9*Assumptions!$B$3</f>
        <v>37550.487000000001</v>
      </c>
      <c r="Z9" s="25">
        <f>K9*Assumptions!$B$3</f>
        <v>26529.821499999998</v>
      </c>
      <c r="AA9" s="25">
        <f>L9*Assumptions!$B$3</f>
        <v>37999.532999999996</v>
      </c>
      <c r="AB9" s="25">
        <f>M9*Assumptions!$B$3</f>
        <v>48235.0245</v>
      </c>
      <c r="AC9" s="25">
        <f>N9*Assumptions!$B$3</f>
        <v>47659.273999999998</v>
      </c>
      <c r="AD9" s="25">
        <f t="shared" si="1"/>
        <v>658276.48900000006</v>
      </c>
      <c r="AF9" s="8" t="s">
        <v>87</v>
      </c>
      <c r="AG9" s="25">
        <f>C9*Assumptions!$B$4</f>
        <v>25955.203500000003</v>
      </c>
      <c r="AH9" s="25">
        <f>D9*Assumptions!$B$4</f>
        <v>21665.919000000002</v>
      </c>
      <c r="AI9" s="25">
        <f>E9*Assumptions!$B$4</f>
        <v>18910.018500000002</v>
      </c>
      <c r="AJ9" s="25">
        <f>F9*Assumptions!$B$4</f>
        <v>27770.601000000002</v>
      </c>
      <c r="AK9" s="25">
        <f>G9*Assumptions!$B$4</f>
        <v>48820.281000000003</v>
      </c>
      <c r="AL9" s="25">
        <f>H9*Assumptions!$B$4</f>
        <v>52187.955000000002</v>
      </c>
      <c r="AM9" s="25">
        <f>I9*Assumptions!$B$4</f>
        <v>45533.673000000003</v>
      </c>
      <c r="AN9" s="25">
        <f>J9*Assumptions!$B$4</f>
        <v>19647.513000000003</v>
      </c>
      <c r="AO9" s="25">
        <f>K9*Assumptions!$B$4</f>
        <v>13881.178500000002</v>
      </c>
      <c r="AP9" s="25">
        <f>L9*Assumptions!$B$4</f>
        <v>19882.467000000001</v>
      </c>
      <c r="AQ9" s="25">
        <f>M9*Assumptions!$B$4</f>
        <v>25237.9755</v>
      </c>
      <c r="AR9" s="25">
        <f>N9*Assumptions!$B$4</f>
        <v>24936.726000000002</v>
      </c>
      <c r="AS9" s="25">
        <f t="shared" si="2"/>
        <v>344429.51100000006</v>
      </c>
      <c r="AT9" s="25">
        <v>0</v>
      </c>
    </row>
    <row r="10" spans="1:46" x14ac:dyDescent="0.2">
      <c r="A10" s="8" t="s">
        <v>65</v>
      </c>
      <c r="B10" s="8" t="s">
        <v>38</v>
      </c>
      <c r="C10" s="1">
        <v>6044</v>
      </c>
      <c r="D10" s="1">
        <v>7696</v>
      </c>
      <c r="E10" s="1">
        <v>8604</v>
      </c>
      <c r="F10" s="1">
        <v>7766</v>
      </c>
      <c r="G10" s="1">
        <v>7371</v>
      </c>
      <c r="H10" s="1">
        <v>9911</v>
      </c>
      <c r="I10" s="1">
        <v>4878</v>
      </c>
      <c r="J10" s="1">
        <v>1855</v>
      </c>
      <c r="K10" s="1">
        <v>2528</v>
      </c>
      <c r="L10" s="1">
        <v>4751</v>
      </c>
      <c r="M10" s="1">
        <v>8297</v>
      </c>
      <c r="N10" s="1">
        <v>7307</v>
      </c>
      <c r="O10" s="1">
        <f t="shared" si="3"/>
        <v>77008</v>
      </c>
      <c r="P10" s="1"/>
      <c r="Q10" s="8" t="s">
        <v>87</v>
      </c>
      <c r="R10" s="25">
        <f>C10*Assumptions!$B$3</f>
        <v>3967.886</v>
      </c>
      <c r="S10" s="25">
        <f>D10*Assumptions!$B$3</f>
        <v>5052.424</v>
      </c>
      <c r="T10" s="25">
        <f>E10*Assumptions!$B$3</f>
        <v>5648.5259999999998</v>
      </c>
      <c r="U10" s="25">
        <f>F10*Assumptions!$B$3</f>
        <v>5098.3789999999999</v>
      </c>
      <c r="V10" s="25">
        <f>G10*Assumptions!$B$3</f>
        <v>4839.0614999999998</v>
      </c>
      <c r="W10" s="25">
        <f>H10*Assumptions!$B$3</f>
        <v>6506.5715</v>
      </c>
      <c r="X10" s="25">
        <f>I10*Assumptions!$B$3</f>
        <v>3202.4069999999997</v>
      </c>
      <c r="Y10" s="25">
        <f>J10*Assumptions!$B$3</f>
        <v>1217.8074999999999</v>
      </c>
      <c r="Z10" s="25">
        <f>K10*Assumptions!$B$3</f>
        <v>1659.6319999999998</v>
      </c>
      <c r="AA10" s="25">
        <f>L10*Assumptions!$B$3</f>
        <v>3119.0315000000001</v>
      </c>
      <c r="AB10" s="25">
        <f>M10*Assumptions!$B$3</f>
        <v>5446.9804999999997</v>
      </c>
      <c r="AC10" s="25">
        <f>N10*Assumptions!$B$3</f>
        <v>4797.0455000000002</v>
      </c>
      <c r="AD10" s="25">
        <f t="shared" si="1"/>
        <v>50555.751999999993</v>
      </c>
      <c r="AF10" s="8" t="s">
        <v>87</v>
      </c>
      <c r="AG10" s="25">
        <f>C10*Assumptions!$B$4</f>
        <v>2076.114</v>
      </c>
      <c r="AH10" s="25">
        <f>D10*Assumptions!$B$4</f>
        <v>2643.576</v>
      </c>
      <c r="AI10" s="25">
        <f>E10*Assumptions!$B$4</f>
        <v>2955.4740000000002</v>
      </c>
      <c r="AJ10" s="25">
        <f>F10*Assumptions!$B$4</f>
        <v>2667.6210000000001</v>
      </c>
      <c r="AK10" s="25">
        <f>G10*Assumptions!$B$4</f>
        <v>2531.9385000000002</v>
      </c>
      <c r="AL10" s="25">
        <f>H10*Assumptions!$B$4</f>
        <v>3404.4285000000004</v>
      </c>
      <c r="AM10" s="25">
        <f>I10*Assumptions!$B$4</f>
        <v>1675.5930000000001</v>
      </c>
      <c r="AN10" s="25">
        <f>J10*Assumptions!$B$4</f>
        <v>637.1925</v>
      </c>
      <c r="AO10" s="25">
        <f>K10*Assumptions!$B$4</f>
        <v>868.36800000000005</v>
      </c>
      <c r="AP10" s="25">
        <f>L10*Assumptions!$B$4</f>
        <v>1631.9685000000002</v>
      </c>
      <c r="AQ10" s="25">
        <f>M10*Assumptions!$B$4</f>
        <v>2850.0195000000003</v>
      </c>
      <c r="AR10" s="25">
        <f>N10*Assumptions!$B$4</f>
        <v>2509.9545000000003</v>
      </c>
      <c r="AS10" s="25">
        <f t="shared" si="2"/>
        <v>26452.248</v>
      </c>
      <c r="AT10" s="25">
        <v>0</v>
      </c>
    </row>
    <row r="11" spans="1:46" x14ac:dyDescent="0.2">
      <c r="A11" s="8" t="s">
        <v>65</v>
      </c>
      <c r="B11" s="8" t="s">
        <v>40</v>
      </c>
      <c r="C11" s="1">
        <v>6937</v>
      </c>
      <c r="D11" s="1">
        <v>6239</v>
      </c>
      <c r="E11" s="1">
        <v>6920</v>
      </c>
      <c r="F11" s="1">
        <v>6244</v>
      </c>
      <c r="G11" s="1">
        <v>4872</v>
      </c>
      <c r="H11" s="1">
        <v>3152</v>
      </c>
      <c r="I11" s="1">
        <v>5272</v>
      </c>
      <c r="J11" s="1">
        <v>1328</v>
      </c>
      <c r="K11" s="1">
        <v>1526</v>
      </c>
      <c r="L11" s="1">
        <v>3021</v>
      </c>
      <c r="M11" s="1">
        <v>6896</v>
      </c>
      <c r="N11" s="1">
        <v>5734</v>
      </c>
      <c r="O11" s="1">
        <f t="shared" si="3"/>
        <v>58141</v>
      </c>
      <c r="P11" s="1"/>
      <c r="Q11" s="8" t="s">
        <v>87</v>
      </c>
      <c r="R11" s="25">
        <f>C11*Assumptions!$B$3</f>
        <v>4554.1404999999995</v>
      </c>
      <c r="S11" s="25">
        <f>D11*Assumptions!$B$3</f>
        <v>4095.9034999999999</v>
      </c>
      <c r="T11" s="25">
        <f>E11*Assumptions!$B$3</f>
        <v>4542.9799999999996</v>
      </c>
      <c r="U11" s="25">
        <f>F11*Assumptions!$B$3</f>
        <v>4099.1859999999997</v>
      </c>
      <c r="V11" s="25">
        <f>G11*Assumptions!$B$3</f>
        <v>3198.4679999999998</v>
      </c>
      <c r="W11" s="25">
        <f>H11*Assumptions!$B$3</f>
        <v>2069.288</v>
      </c>
      <c r="X11" s="25">
        <f>I11*Assumptions!$B$3</f>
        <v>3461.0679999999998</v>
      </c>
      <c r="Y11" s="25">
        <f>J11*Assumptions!$B$3</f>
        <v>871.83199999999999</v>
      </c>
      <c r="Z11" s="25">
        <f>K11*Assumptions!$B$3</f>
        <v>1001.819</v>
      </c>
      <c r="AA11" s="25">
        <f>L11*Assumptions!$B$3</f>
        <v>1983.2864999999999</v>
      </c>
      <c r="AB11" s="25">
        <f>M11*Assumptions!$B$3</f>
        <v>4527.2240000000002</v>
      </c>
      <c r="AC11" s="25">
        <f>N11*Assumptions!$B$3</f>
        <v>3764.3709999999996</v>
      </c>
      <c r="AD11" s="25">
        <f t="shared" si="1"/>
        <v>38169.566499999994</v>
      </c>
      <c r="AF11" s="8" t="s">
        <v>87</v>
      </c>
      <c r="AG11" s="25">
        <f>C11*Assumptions!$B$4</f>
        <v>2382.8595</v>
      </c>
      <c r="AH11" s="25">
        <f>D11*Assumptions!$B$4</f>
        <v>2143.0965000000001</v>
      </c>
      <c r="AI11" s="25">
        <f>E11*Assumptions!$B$4</f>
        <v>2377.02</v>
      </c>
      <c r="AJ11" s="25">
        <f>F11*Assumptions!$B$4</f>
        <v>2144.8140000000003</v>
      </c>
      <c r="AK11" s="25">
        <f>G11*Assumptions!$B$4</f>
        <v>1673.5320000000002</v>
      </c>
      <c r="AL11" s="25">
        <f>H11*Assumptions!$B$4</f>
        <v>1082.712</v>
      </c>
      <c r="AM11" s="25">
        <f>I11*Assumptions!$B$4</f>
        <v>1810.9320000000002</v>
      </c>
      <c r="AN11" s="25">
        <f>J11*Assumptions!$B$4</f>
        <v>456.16800000000006</v>
      </c>
      <c r="AO11" s="25">
        <f>K11*Assumptions!$B$4</f>
        <v>524.18100000000004</v>
      </c>
      <c r="AP11" s="25">
        <f>L11*Assumptions!$B$4</f>
        <v>1037.7135000000001</v>
      </c>
      <c r="AQ11" s="25">
        <f>M11*Assumptions!$B$4</f>
        <v>2368.7760000000003</v>
      </c>
      <c r="AR11" s="25">
        <f>N11*Assumptions!$B$4</f>
        <v>1969.6290000000001</v>
      </c>
      <c r="AS11" s="25">
        <f t="shared" si="2"/>
        <v>19971.433500000003</v>
      </c>
      <c r="AT11" s="25">
        <v>0</v>
      </c>
    </row>
    <row r="12" spans="1:46" x14ac:dyDescent="0.2">
      <c r="A12" s="8" t="s">
        <v>65</v>
      </c>
      <c r="B12" s="8" t="s">
        <v>41</v>
      </c>
      <c r="C12" s="1">
        <v>10370</v>
      </c>
      <c r="D12" s="1">
        <v>9985</v>
      </c>
      <c r="E12" s="1">
        <v>10676</v>
      </c>
      <c r="F12" s="1">
        <v>10346</v>
      </c>
      <c r="G12" s="1">
        <v>10524</v>
      </c>
      <c r="H12" s="1">
        <v>2073</v>
      </c>
      <c r="I12" s="1">
        <v>63</v>
      </c>
      <c r="J12" s="1">
        <v>3302</v>
      </c>
      <c r="K12" s="1">
        <v>3406</v>
      </c>
      <c r="L12" s="1">
        <v>4653</v>
      </c>
      <c r="M12" s="1">
        <v>9473</v>
      </c>
      <c r="N12" s="1">
        <v>8229</v>
      </c>
      <c r="O12" s="1">
        <f t="shared" si="3"/>
        <v>83100</v>
      </c>
      <c r="P12" s="1"/>
      <c r="Q12" s="8" t="s">
        <v>87</v>
      </c>
      <c r="R12" s="25">
        <f>C12*Assumptions!$B$3</f>
        <v>6807.9049999999997</v>
      </c>
      <c r="S12" s="25">
        <f>D12*Assumptions!$B$3</f>
        <v>6555.1525000000001</v>
      </c>
      <c r="T12" s="25">
        <f>E12*Assumptions!$B$3</f>
        <v>7008.7939999999999</v>
      </c>
      <c r="U12" s="25">
        <f>F12*Assumptions!$B$3</f>
        <v>6792.1489999999994</v>
      </c>
      <c r="V12" s="25">
        <f>G12*Assumptions!$B$3</f>
        <v>6909.0059999999994</v>
      </c>
      <c r="W12" s="25">
        <f>H12*Assumptions!$B$3</f>
        <v>1360.9244999999999</v>
      </c>
      <c r="X12" s="25">
        <f>I12*Assumptions!$B$3</f>
        <v>41.359499999999997</v>
      </c>
      <c r="Y12" s="25">
        <f>J12*Assumptions!$B$3</f>
        <v>2167.7629999999999</v>
      </c>
      <c r="Z12" s="25">
        <f>K12*Assumptions!$B$3</f>
        <v>2236.0389999999998</v>
      </c>
      <c r="AA12" s="25">
        <f>L12*Assumptions!$B$3</f>
        <v>3054.6945000000001</v>
      </c>
      <c r="AB12" s="25">
        <f>M12*Assumptions!$B$3</f>
        <v>6219.0244999999995</v>
      </c>
      <c r="AC12" s="25">
        <f>N12*Assumptions!$B$3</f>
        <v>5402.3384999999998</v>
      </c>
      <c r="AD12" s="25">
        <f t="shared" si="1"/>
        <v>54555.149999999987</v>
      </c>
      <c r="AF12" s="8" t="s">
        <v>87</v>
      </c>
      <c r="AG12" s="25">
        <f>C12*Assumptions!$B$4</f>
        <v>3562.0950000000003</v>
      </c>
      <c r="AH12" s="25">
        <f>D12*Assumptions!$B$4</f>
        <v>3429.8475000000003</v>
      </c>
      <c r="AI12" s="25">
        <f>E12*Assumptions!$B$4</f>
        <v>3667.2060000000001</v>
      </c>
      <c r="AJ12" s="25">
        <f>F12*Assumptions!$B$4</f>
        <v>3553.8510000000001</v>
      </c>
      <c r="AK12" s="25">
        <f>G12*Assumptions!$B$4</f>
        <v>3614.9940000000001</v>
      </c>
      <c r="AL12" s="25">
        <f>H12*Assumptions!$B$4</f>
        <v>712.07550000000003</v>
      </c>
      <c r="AM12" s="25">
        <f>I12*Assumptions!$B$4</f>
        <v>21.640500000000003</v>
      </c>
      <c r="AN12" s="25">
        <f>J12*Assumptions!$B$4</f>
        <v>1134.2370000000001</v>
      </c>
      <c r="AO12" s="25">
        <f>K12*Assumptions!$B$4</f>
        <v>1169.961</v>
      </c>
      <c r="AP12" s="25">
        <f>L12*Assumptions!$B$4</f>
        <v>1598.3055000000002</v>
      </c>
      <c r="AQ12" s="25">
        <f>M12*Assumptions!$B$4</f>
        <v>3253.9755000000005</v>
      </c>
      <c r="AR12" s="25">
        <f>N12*Assumptions!$B$4</f>
        <v>2826.6615000000002</v>
      </c>
      <c r="AS12" s="25">
        <f t="shared" si="2"/>
        <v>28544.85</v>
      </c>
      <c r="AT12" s="25">
        <v>0</v>
      </c>
    </row>
    <row r="13" spans="1:46" x14ac:dyDescent="0.2">
      <c r="A13" s="8" t="s">
        <v>65</v>
      </c>
      <c r="B13" s="8" t="s">
        <v>42</v>
      </c>
      <c r="C13" s="1">
        <v>12533</v>
      </c>
      <c r="D13" s="1">
        <v>10195</v>
      </c>
      <c r="E13" s="1">
        <v>9656</v>
      </c>
      <c r="F13" s="1">
        <v>10538</v>
      </c>
      <c r="G13" s="1">
        <v>14255</v>
      </c>
      <c r="H13" s="1">
        <v>17306</v>
      </c>
      <c r="I13" s="1">
        <v>6480</v>
      </c>
      <c r="J13" s="1">
        <v>3342</v>
      </c>
      <c r="K13" s="1">
        <v>4003</v>
      </c>
      <c r="L13" s="1">
        <v>6887</v>
      </c>
      <c r="M13" s="1">
        <v>11479</v>
      </c>
      <c r="N13" s="1">
        <v>11253</v>
      </c>
      <c r="O13" s="1">
        <f t="shared" si="3"/>
        <v>117927</v>
      </c>
      <c r="P13" s="1"/>
      <c r="Q13" s="8" t="s">
        <v>87</v>
      </c>
      <c r="R13" s="25">
        <f>C13*Assumptions!$B$3</f>
        <v>8227.914499999999</v>
      </c>
      <c r="S13" s="25">
        <f>D13*Assumptions!$B$3</f>
        <v>6693.0174999999999</v>
      </c>
      <c r="T13" s="25">
        <f>E13*Assumptions!$B$3</f>
        <v>6339.1639999999998</v>
      </c>
      <c r="U13" s="25">
        <f>F13*Assumptions!$B$3</f>
        <v>6918.1970000000001</v>
      </c>
      <c r="V13" s="25">
        <f>G13*Assumptions!$B$3</f>
        <v>9358.4074999999993</v>
      </c>
      <c r="W13" s="25">
        <f>H13*Assumptions!$B$3</f>
        <v>11361.388999999999</v>
      </c>
      <c r="X13" s="25">
        <f>I13*Assumptions!$B$3</f>
        <v>4254.12</v>
      </c>
      <c r="Y13" s="25">
        <f>J13*Assumptions!$B$3</f>
        <v>2194.0229999999997</v>
      </c>
      <c r="Z13" s="25">
        <f>K13*Assumptions!$B$3</f>
        <v>2627.9694999999997</v>
      </c>
      <c r="AA13" s="25">
        <f>L13*Assumptions!$B$3</f>
        <v>4521.3154999999997</v>
      </c>
      <c r="AB13" s="25">
        <f>M13*Assumptions!$B$3</f>
        <v>7535.9634999999998</v>
      </c>
      <c r="AC13" s="25">
        <f>N13*Assumptions!$B$3</f>
        <v>7387.5944999999992</v>
      </c>
      <c r="AD13" s="25">
        <f t="shared" si="1"/>
        <v>77419.075500000006</v>
      </c>
      <c r="AF13" s="8" t="s">
        <v>87</v>
      </c>
      <c r="AG13" s="25">
        <f>C13*Assumptions!$B$4</f>
        <v>4305.0855000000001</v>
      </c>
      <c r="AH13" s="25">
        <f>D13*Assumptions!$B$4</f>
        <v>3501.9825000000001</v>
      </c>
      <c r="AI13" s="25">
        <f>E13*Assumptions!$B$4</f>
        <v>3316.8360000000002</v>
      </c>
      <c r="AJ13" s="25">
        <f>F13*Assumptions!$B$4</f>
        <v>3619.8030000000003</v>
      </c>
      <c r="AK13" s="25">
        <f>G13*Assumptions!$B$4</f>
        <v>4896.5925000000007</v>
      </c>
      <c r="AL13" s="25">
        <f>H13*Assumptions!$B$4</f>
        <v>5944.6110000000008</v>
      </c>
      <c r="AM13" s="25">
        <f>I13*Assumptions!$B$4</f>
        <v>2225.88</v>
      </c>
      <c r="AN13" s="25">
        <f>J13*Assumptions!$B$4</f>
        <v>1147.9770000000001</v>
      </c>
      <c r="AO13" s="25">
        <f>K13*Assumptions!$B$4</f>
        <v>1375.0305000000001</v>
      </c>
      <c r="AP13" s="25">
        <f>L13*Assumptions!$B$4</f>
        <v>2365.6845000000003</v>
      </c>
      <c r="AQ13" s="25">
        <f>M13*Assumptions!$B$4</f>
        <v>3943.0365000000002</v>
      </c>
      <c r="AR13" s="25">
        <f>N13*Assumptions!$B$4</f>
        <v>3865.4055000000003</v>
      </c>
      <c r="AS13" s="25">
        <f t="shared" si="2"/>
        <v>40507.924500000001</v>
      </c>
      <c r="AT13" s="25">
        <v>0</v>
      </c>
    </row>
    <row r="14" spans="1:46" x14ac:dyDescent="0.2">
      <c r="A14" s="8" t="s">
        <v>65</v>
      </c>
      <c r="B14" s="8" t="s">
        <v>43</v>
      </c>
      <c r="C14" s="1">
        <v>49800</v>
      </c>
      <c r="D14" s="1">
        <v>60526</v>
      </c>
      <c r="E14" s="1">
        <v>54488</v>
      </c>
      <c r="F14" s="1">
        <v>59810</v>
      </c>
      <c r="G14" s="1">
        <v>62783</v>
      </c>
      <c r="H14" s="1">
        <v>58868</v>
      </c>
      <c r="I14" s="1">
        <v>27614</v>
      </c>
      <c r="J14" s="1">
        <v>14241</v>
      </c>
      <c r="K14" s="1">
        <v>14093</v>
      </c>
      <c r="L14" s="1">
        <v>23094</v>
      </c>
      <c r="M14" s="1">
        <v>37731</v>
      </c>
      <c r="N14" s="1">
        <v>39625</v>
      </c>
      <c r="O14" s="1">
        <f t="shared" si="3"/>
        <v>502673</v>
      </c>
      <c r="P14" s="1"/>
      <c r="Q14" s="8" t="s">
        <v>87</v>
      </c>
      <c r="R14" s="25">
        <f>C14*Assumptions!$B$3</f>
        <v>32693.699999999997</v>
      </c>
      <c r="S14" s="25">
        <f>D14*Assumptions!$B$3</f>
        <v>39735.318999999996</v>
      </c>
      <c r="T14" s="25">
        <f>E14*Assumptions!$B$3</f>
        <v>35771.371999999996</v>
      </c>
      <c r="U14" s="25">
        <f>F14*Assumptions!$B$3</f>
        <v>39265.264999999999</v>
      </c>
      <c r="V14" s="25">
        <f>G14*Assumptions!$B$3</f>
        <v>41217.039499999999</v>
      </c>
      <c r="W14" s="25">
        <f>H14*Assumptions!$B$3</f>
        <v>38646.841999999997</v>
      </c>
      <c r="X14" s="25">
        <f>I14*Assumptions!$B$3</f>
        <v>18128.591</v>
      </c>
      <c r="Y14" s="25">
        <f>J14*Assumptions!$B$3</f>
        <v>9349.2165000000005</v>
      </c>
      <c r="Z14" s="25">
        <f>K14*Assumptions!$B$3</f>
        <v>9252.0545000000002</v>
      </c>
      <c r="AA14" s="25">
        <f>L14*Assumptions!$B$3</f>
        <v>15161.210999999999</v>
      </c>
      <c r="AB14" s="25">
        <f>M14*Assumptions!$B$3</f>
        <v>24770.4015</v>
      </c>
      <c r="AC14" s="25">
        <f>N14*Assumptions!$B$3</f>
        <v>26013.8125</v>
      </c>
      <c r="AD14" s="25">
        <f t="shared" si="1"/>
        <v>330004.82450000005</v>
      </c>
      <c r="AF14" s="8" t="s">
        <v>87</v>
      </c>
      <c r="AG14" s="25">
        <f>C14*Assumptions!$B$4</f>
        <v>17106.300000000003</v>
      </c>
      <c r="AH14" s="25">
        <f>D14*Assumptions!$B$4</f>
        <v>20790.681</v>
      </c>
      <c r="AI14" s="25">
        <f>E14*Assumptions!$B$4</f>
        <v>18716.628000000001</v>
      </c>
      <c r="AJ14" s="25">
        <f>F14*Assumptions!$B$4</f>
        <v>20544.735000000001</v>
      </c>
      <c r="AK14" s="25">
        <f>G14*Assumptions!$B$4</f>
        <v>21565.960500000001</v>
      </c>
      <c r="AL14" s="25">
        <f>H14*Assumptions!$B$4</f>
        <v>20221.158000000003</v>
      </c>
      <c r="AM14" s="25">
        <f>I14*Assumptions!$B$4</f>
        <v>9485.4090000000015</v>
      </c>
      <c r="AN14" s="25">
        <f>J14*Assumptions!$B$4</f>
        <v>4891.7835000000005</v>
      </c>
      <c r="AO14" s="25">
        <f>K14*Assumptions!$B$4</f>
        <v>4840.9455000000007</v>
      </c>
      <c r="AP14" s="25">
        <f>L14*Assumptions!$B$4</f>
        <v>7932.7890000000007</v>
      </c>
      <c r="AQ14" s="25">
        <f>M14*Assumptions!$B$4</f>
        <v>12960.598500000002</v>
      </c>
      <c r="AR14" s="25">
        <f>N14*Assumptions!$B$4</f>
        <v>13611.187500000002</v>
      </c>
      <c r="AS14" s="25">
        <f t="shared" si="2"/>
        <v>172668.17549999998</v>
      </c>
      <c r="AT14" s="25">
        <v>0</v>
      </c>
    </row>
    <row r="15" spans="1:46" x14ac:dyDescent="0.2">
      <c r="A15" s="8" t="s">
        <v>65</v>
      </c>
      <c r="B15" s="8" t="s">
        <v>44</v>
      </c>
      <c r="C15" s="1">
        <v>22015</v>
      </c>
      <c r="D15" s="1">
        <v>25604</v>
      </c>
      <c r="E15" s="1">
        <v>25314</v>
      </c>
      <c r="F15" s="1">
        <v>26422</v>
      </c>
      <c r="G15" s="1">
        <v>25257</v>
      </c>
      <c r="H15" s="1">
        <v>21467</v>
      </c>
      <c r="I15" s="1">
        <v>10186</v>
      </c>
      <c r="J15" s="1">
        <v>5936</v>
      </c>
      <c r="K15" s="1">
        <v>6052</v>
      </c>
      <c r="L15" s="1">
        <v>10145</v>
      </c>
      <c r="M15" s="1">
        <v>16597</v>
      </c>
      <c r="N15" s="1">
        <v>17538</v>
      </c>
      <c r="O15" s="1">
        <f t="shared" si="3"/>
        <v>212533</v>
      </c>
      <c r="P15" s="1"/>
      <c r="Q15" s="8" t="s">
        <v>87</v>
      </c>
      <c r="R15" s="25">
        <f>C15*Assumptions!$B$3</f>
        <v>14452.8475</v>
      </c>
      <c r="S15" s="25">
        <f>D15*Assumptions!$B$3</f>
        <v>16809.025999999998</v>
      </c>
      <c r="T15" s="25">
        <f>E15*Assumptions!$B$3</f>
        <v>16618.641</v>
      </c>
      <c r="U15" s="25">
        <f>F15*Assumptions!$B$3</f>
        <v>17346.042999999998</v>
      </c>
      <c r="V15" s="25">
        <f>G15*Assumptions!$B$3</f>
        <v>16581.220499999999</v>
      </c>
      <c r="W15" s="25">
        <f>H15*Assumptions!$B$3</f>
        <v>14093.085499999999</v>
      </c>
      <c r="X15" s="25">
        <f>I15*Assumptions!$B$3</f>
        <v>6687.1089999999995</v>
      </c>
      <c r="Y15" s="25">
        <f>J15*Assumptions!$B$3</f>
        <v>3896.9839999999999</v>
      </c>
      <c r="Z15" s="25">
        <f>K15*Assumptions!$B$3</f>
        <v>3973.1379999999999</v>
      </c>
      <c r="AA15" s="25">
        <f>L15*Assumptions!$B$3</f>
        <v>6660.1925000000001</v>
      </c>
      <c r="AB15" s="25">
        <f>M15*Assumptions!$B$3</f>
        <v>10895.9305</v>
      </c>
      <c r="AC15" s="25">
        <f>N15*Assumptions!$B$3</f>
        <v>11513.697</v>
      </c>
      <c r="AD15" s="25">
        <f t="shared" si="1"/>
        <v>139527.91450000001</v>
      </c>
      <c r="AF15" s="8" t="s">
        <v>87</v>
      </c>
      <c r="AG15" s="25">
        <f>C15*Assumptions!$B$4</f>
        <v>7562.1525000000011</v>
      </c>
      <c r="AH15" s="25">
        <f>D15*Assumptions!$B$4</f>
        <v>8794.9740000000002</v>
      </c>
      <c r="AI15" s="25">
        <f>E15*Assumptions!$B$4</f>
        <v>8695.3590000000004</v>
      </c>
      <c r="AJ15" s="25">
        <f>F15*Assumptions!$B$4</f>
        <v>9075.9570000000003</v>
      </c>
      <c r="AK15" s="25">
        <f>G15*Assumptions!$B$4</f>
        <v>8675.7795000000006</v>
      </c>
      <c r="AL15" s="25">
        <f>H15*Assumptions!$B$4</f>
        <v>7373.9145000000008</v>
      </c>
      <c r="AM15" s="25">
        <f>I15*Assumptions!$B$4</f>
        <v>3498.8910000000001</v>
      </c>
      <c r="AN15" s="25">
        <f>J15*Assumptions!$B$4</f>
        <v>2039.0160000000001</v>
      </c>
      <c r="AO15" s="25">
        <f>K15*Assumptions!$B$4</f>
        <v>2078.8620000000001</v>
      </c>
      <c r="AP15" s="25">
        <f>L15*Assumptions!$B$4</f>
        <v>3484.8075000000003</v>
      </c>
      <c r="AQ15" s="25">
        <f>M15*Assumptions!$B$4</f>
        <v>5701.0695000000005</v>
      </c>
      <c r="AR15" s="25">
        <f>N15*Assumptions!$B$4</f>
        <v>6024.3030000000008</v>
      </c>
      <c r="AS15" s="25">
        <f t="shared" si="2"/>
        <v>73005.085500000016</v>
      </c>
      <c r="AT15" s="25">
        <v>0</v>
      </c>
    </row>
    <row r="16" spans="1:46" x14ac:dyDescent="0.2">
      <c r="A16" s="8" t="s">
        <v>65</v>
      </c>
      <c r="B16" s="8" t="s">
        <v>48</v>
      </c>
      <c r="C16" s="1">
        <v>103125</v>
      </c>
      <c r="D16" s="1">
        <v>113649</v>
      </c>
      <c r="E16" s="1">
        <v>86716</v>
      </c>
      <c r="F16" s="1">
        <v>83137</v>
      </c>
      <c r="G16" s="1">
        <v>145434</v>
      </c>
      <c r="H16" s="1">
        <v>135320</v>
      </c>
      <c r="I16" s="1">
        <v>131969</v>
      </c>
      <c r="J16" s="1">
        <v>111815</v>
      </c>
      <c r="K16" s="1">
        <v>72356</v>
      </c>
      <c r="L16" s="1">
        <v>70454</v>
      </c>
      <c r="M16" s="1">
        <v>103597</v>
      </c>
      <c r="N16" s="1">
        <v>103101</v>
      </c>
      <c r="O16" s="1">
        <f t="shared" si="3"/>
        <v>1260673</v>
      </c>
      <c r="P16" s="1"/>
      <c r="Q16" s="8" t="s">
        <v>87</v>
      </c>
      <c r="R16" s="25">
        <f>C16*Assumptions!$B$3</f>
        <v>67701.5625</v>
      </c>
      <c r="S16" s="25">
        <f>D16*Assumptions!$B$3</f>
        <v>74610.568499999994</v>
      </c>
      <c r="T16" s="25">
        <f>E16*Assumptions!$B$3</f>
        <v>56929.053999999996</v>
      </c>
      <c r="U16" s="25">
        <f>F16*Assumptions!$B$3</f>
        <v>54579.440499999997</v>
      </c>
      <c r="V16" s="25">
        <f>G16*Assumptions!$B$3</f>
        <v>95477.421000000002</v>
      </c>
      <c r="W16" s="25">
        <f>H16*Assumptions!$B$3</f>
        <v>88837.58</v>
      </c>
      <c r="X16" s="25">
        <f>I16*Assumptions!$B$3</f>
        <v>86637.648499999996</v>
      </c>
      <c r="Y16" s="25">
        <f>J16*Assumptions!$B$3</f>
        <v>73406.547500000001</v>
      </c>
      <c r="Z16" s="25">
        <f>K16*Assumptions!$B$3</f>
        <v>47501.714</v>
      </c>
      <c r="AA16" s="25">
        <f>L16*Assumptions!$B$3</f>
        <v>46253.050999999999</v>
      </c>
      <c r="AB16" s="25">
        <f>M16*Assumptions!$B$3</f>
        <v>68011.430500000002</v>
      </c>
      <c r="AC16" s="25">
        <f>N16*Assumptions!$B$3</f>
        <v>67685.806499999992</v>
      </c>
      <c r="AD16" s="25">
        <f t="shared" si="1"/>
        <v>827631.82449999999</v>
      </c>
      <c r="AF16" s="8" t="s">
        <v>87</v>
      </c>
      <c r="AG16" s="25">
        <f>C16*Assumptions!$B$4</f>
        <v>35423.4375</v>
      </c>
      <c r="AH16" s="25">
        <f>D16*Assumptions!$B$4</f>
        <v>39038.431500000006</v>
      </c>
      <c r="AI16" s="25">
        <f>E16*Assumptions!$B$4</f>
        <v>29786.946000000004</v>
      </c>
      <c r="AJ16" s="25">
        <f>F16*Assumptions!$B$4</f>
        <v>28557.559500000003</v>
      </c>
      <c r="AK16" s="25">
        <f>G16*Assumptions!$B$4</f>
        <v>49956.579000000005</v>
      </c>
      <c r="AL16" s="25">
        <f>H16*Assumptions!$B$4</f>
        <v>46482.420000000006</v>
      </c>
      <c r="AM16" s="25">
        <f>I16*Assumptions!$B$4</f>
        <v>45331.351500000004</v>
      </c>
      <c r="AN16" s="25">
        <f>J16*Assumptions!$B$4</f>
        <v>38408.452500000007</v>
      </c>
      <c r="AO16" s="25">
        <f>K16*Assumptions!$B$4</f>
        <v>24854.286000000004</v>
      </c>
      <c r="AP16" s="25">
        <f>L16*Assumptions!$B$4</f>
        <v>24200.949000000001</v>
      </c>
      <c r="AQ16" s="25">
        <f>M16*Assumptions!$B$4</f>
        <v>35585.569500000005</v>
      </c>
      <c r="AR16" s="25">
        <f>N16*Assumptions!$B$4</f>
        <v>35415.193500000001</v>
      </c>
      <c r="AS16" s="25">
        <f t="shared" si="2"/>
        <v>433041.17550000007</v>
      </c>
      <c r="AT16" s="25">
        <v>0</v>
      </c>
    </row>
    <row r="17" spans="1:46" x14ac:dyDescent="0.2">
      <c r="A17" s="8" t="s">
        <v>0</v>
      </c>
      <c r="B17" s="8" t="s">
        <v>45</v>
      </c>
      <c r="C17" s="1">
        <v>34328</v>
      </c>
      <c r="D17" s="1">
        <v>27895</v>
      </c>
      <c r="E17" s="1">
        <v>25223</v>
      </c>
      <c r="F17" s="1">
        <v>25853</v>
      </c>
      <c r="G17" s="1">
        <v>-291</v>
      </c>
      <c r="H17" s="1">
        <v>-189</v>
      </c>
      <c r="I17" s="1">
        <v>11786</v>
      </c>
      <c r="J17" s="1">
        <v>23362</v>
      </c>
      <c r="K17" s="1">
        <v>31744</v>
      </c>
      <c r="L17" s="1">
        <v>31977</v>
      </c>
      <c r="M17" s="1">
        <v>20466</v>
      </c>
      <c r="N17" s="1">
        <v>32697</v>
      </c>
      <c r="O17" s="1">
        <f t="shared" si="3"/>
        <v>264851</v>
      </c>
      <c r="P17" s="1"/>
      <c r="Q17" s="8" t="s">
        <v>87</v>
      </c>
      <c r="R17" s="25">
        <f>C17*Assumptions!$B$3</f>
        <v>22536.331999999999</v>
      </c>
      <c r="S17" s="25">
        <f>D17*Assumptions!$B$3</f>
        <v>18313.067500000001</v>
      </c>
      <c r="T17" s="25">
        <f>E17*Assumptions!$B$3</f>
        <v>16558.8995</v>
      </c>
      <c r="U17" s="25">
        <f>F17*Assumptions!$B$3</f>
        <v>16972.494500000001</v>
      </c>
      <c r="V17" s="25">
        <f>G17*Assumptions!$B$3</f>
        <v>-191.04149999999998</v>
      </c>
      <c r="W17" s="25">
        <f>H17*Assumptions!$B$3</f>
        <v>-124.07849999999999</v>
      </c>
      <c r="X17" s="25">
        <f>I17*Assumptions!$B$3</f>
        <v>7737.509</v>
      </c>
      <c r="Y17" s="25">
        <f>J17*Assumptions!$B$3</f>
        <v>15337.153</v>
      </c>
      <c r="Z17" s="25">
        <f>K17*Assumptions!$B$3</f>
        <v>20839.935999999998</v>
      </c>
      <c r="AA17" s="25">
        <f>L17*Assumptions!$B$3</f>
        <v>20992.9005</v>
      </c>
      <c r="AB17" s="25">
        <f>M17*Assumptions!$B$3</f>
        <v>13435.929</v>
      </c>
      <c r="AC17" s="25">
        <f>N17*Assumptions!$B$3</f>
        <v>21465.5805</v>
      </c>
      <c r="AD17" s="25">
        <f t="shared" si="1"/>
        <v>173874.68150000001</v>
      </c>
      <c r="AF17" s="8" t="s">
        <v>87</v>
      </c>
      <c r="AG17" s="25">
        <f>C17*Assumptions!$B$4</f>
        <v>11791.668000000001</v>
      </c>
      <c r="AH17" s="25">
        <f>D17*Assumptions!$B$4</f>
        <v>9581.9325000000008</v>
      </c>
      <c r="AI17" s="25">
        <f>E17*Assumptions!$B$4</f>
        <v>8664.1005000000005</v>
      </c>
      <c r="AJ17" s="25">
        <f>F17*Assumptions!$B$4</f>
        <v>8880.5055000000011</v>
      </c>
      <c r="AK17" s="25">
        <f>G17*Assumptions!$B$4</f>
        <v>-99.958500000000015</v>
      </c>
      <c r="AL17" s="25">
        <f>H17*Assumptions!$B$4</f>
        <v>-64.921500000000009</v>
      </c>
      <c r="AM17" s="25">
        <f>I17*Assumptions!$B$4</f>
        <v>4048.4910000000004</v>
      </c>
      <c r="AN17" s="25">
        <f>J17*Assumptions!$B$4</f>
        <v>8024.8470000000007</v>
      </c>
      <c r="AO17" s="25">
        <f>K17*Assumptions!$B$4</f>
        <v>10904.064</v>
      </c>
      <c r="AP17" s="25">
        <f>L17*Assumptions!$B$4</f>
        <v>10984.0995</v>
      </c>
      <c r="AQ17" s="25">
        <f>M17*Assumptions!$B$4</f>
        <v>7030.0710000000008</v>
      </c>
      <c r="AR17" s="25">
        <f>N17*Assumptions!$B$4</f>
        <v>11231.419500000002</v>
      </c>
      <c r="AS17" s="25">
        <f t="shared" si="2"/>
        <v>90976.318500000008</v>
      </c>
      <c r="AT17" s="1">
        <f>AS17*Assumptions!B19</f>
        <v>86791.40784900001</v>
      </c>
    </row>
    <row r="18" spans="1:46" x14ac:dyDescent="0.2">
      <c r="A18" s="8" t="s">
        <v>3</v>
      </c>
      <c r="B18" s="8" t="s">
        <v>46</v>
      </c>
      <c r="C18" s="1">
        <v>53159</v>
      </c>
      <c r="D18" s="1">
        <v>34444</v>
      </c>
      <c r="E18" s="1">
        <v>38364</v>
      </c>
      <c r="F18" s="1">
        <v>30138</v>
      </c>
      <c r="G18" s="1">
        <v>25633</v>
      </c>
      <c r="H18" s="1">
        <v>22787</v>
      </c>
      <c r="I18" s="1">
        <v>23027</v>
      </c>
      <c r="J18" s="1">
        <v>17332</v>
      </c>
      <c r="K18" s="1">
        <v>19258</v>
      </c>
      <c r="L18" s="1">
        <v>32483</v>
      </c>
      <c r="M18" s="1">
        <v>42244</v>
      </c>
      <c r="N18" s="1">
        <v>31273</v>
      </c>
      <c r="O18" s="1">
        <f t="shared" si="3"/>
        <v>370142</v>
      </c>
      <c r="P18" s="1"/>
      <c r="Q18" s="8" t="s">
        <v>87</v>
      </c>
      <c r="R18" s="25">
        <f>C18*Assumptions!$B$3</f>
        <v>34898.883499999996</v>
      </c>
      <c r="S18" s="25">
        <f>D18*Assumptions!$B$3</f>
        <v>22612.486000000001</v>
      </c>
      <c r="T18" s="25">
        <f>E18*Assumptions!$B$3</f>
        <v>25185.966</v>
      </c>
      <c r="U18" s="25">
        <f>F18*Assumptions!$B$3</f>
        <v>19785.596999999998</v>
      </c>
      <c r="V18" s="25">
        <f>G18*Assumptions!$B$3</f>
        <v>16828.0645</v>
      </c>
      <c r="W18" s="25">
        <f>H18*Assumptions!$B$3</f>
        <v>14959.665499999999</v>
      </c>
      <c r="X18" s="25">
        <f>I18*Assumptions!$B$3</f>
        <v>15117.225499999999</v>
      </c>
      <c r="Y18" s="25">
        <f>J18*Assumptions!$B$3</f>
        <v>11378.457999999999</v>
      </c>
      <c r="Z18" s="25">
        <f>K18*Assumptions!$B$3</f>
        <v>12642.876999999999</v>
      </c>
      <c r="AA18" s="25">
        <f>L18*Assumptions!$B$3</f>
        <v>21325.089499999998</v>
      </c>
      <c r="AB18" s="25">
        <f>M18*Assumptions!$B$3</f>
        <v>27733.185999999998</v>
      </c>
      <c r="AC18" s="25">
        <f>N18*Assumptions!$B$3</f>
        <v>20530.7245</v>
      </c>
      <c r="AD18" s="25">
        <f t="shared" si="1"/>
        <v>242998.22300000003</v>
      </c>
      <c r="AF18" s="8" t="s">
        <v>87</v>
      </c>
      <c r="AG18" s="25">
        <f>C18*Assumptions!$B$4</f>
        <v>18260.1165</v>
      </c>
      <c r="AH18" s="25">
        <f>D18*Assumptions!$B$4</f>
        <v>11831.514000000001</v>
      </c>
      <c r="AI18" s="25">
        <f>E18*Assumptions!$B$4</f>
        <v>13178.034000000001</v>
      </c>
      <c r="AJ18" s="25">
        <f>F18*Assumptions!$B$4</f>
        <v>10352.403</v>
      </c>
      <c r="AK18" s="25">
        <f>G18*Assumptions!$B$4</f>
        <v>8804.9355000000014</v>
      </c>
      <c r="AL18" s="25">
        <f>H18*Assumptions!$B$4</f>
        <v>7827.3345000000008</v>
      </c>
      <c r="AM18" s="25">
        <f>I18*Assumptions!$B$4</f>
        <v>7909.7745000000004</v>
      </c>
      <c r="AN18" s="25">
        <f>J18*Assumptions!$B$4</f>
        <v>5953.5420000000004</v>
      </c>
      <c r="AO18" s="25">
        <f>K18*Assumptions!$B$4</f>
        <v>6615.1230000000005</v>
      </c>
      <c r="AP18" s="25">
        <f>L18*Assumptions!$B$4</f>
        <v>11157.910500000002</v>
      </c>
      <c r="AQ18" s="25">
        <f>M18*Assumptions!$B$4</f>
        <v>14510.814</v>
      </c>
      <c r="AR18" s="25">
        <f>N18*Assumptions!$B$4</f>
        <v>10742.275500000002</v>
      </c>
      <c r="AS18" s="25">
        <f t="shared" si="2"/>
        <v>127143.777</v>
      </c>
      <c r="AT18" s="1">
        <f>AS18</f>
        <v>127143.777</v>
      </c>
    </row>
    <row r="19" spans="1:46" x14ac:dyDescent="0.2">
      <c r="A19" s="8" t="s">
        <v>3</v>
      </c>
      <c r="B19" s="8" t="s">
        <v>47</v>
      </c>
      <c r="C19" s="1">
        <v>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397</v>
      </c>
      <c r="L19" s="1">
        <v>4683</v>
      </c>
      <c r="M19" s="1">
        <v>9379</v>
      </c>
      <c r="N19" s="1">
        <v>22698</v>
      </c>
      <c r="O19" s="1">
        <f t="shared" si="3"/>
        <v>37157</v>
      </c>
      <c r="P19" s="1"/>
      <c r="Q19" s="8" t="s">
        <v>87</v>
      </c>
      <c r="R19" s="25">
        <f>C19*Assumptions!$B$3</f>
        <v>0</v>
      </c>
      <c r="S19" s="25">
        <f>D19*Assumptions!$B$3</f>
        <v>0</v>
      </c>
      <c r="T19" s="25">
        <f>E19*Assumptions!$B$3</f>
        <v>0</v>
      </c>
      <c r="U19" s="25">
        <f>F19*Assumptions!$B$3</f>
        <v>0</v>
      </c>
      <c r="V19" s="25">
        <f>G19*Assumptions!$B$3</f>
        <v>0</v>
      </c>
      <c r="W19" s="25">
        <f>H19*Assumptions!$B$3</f>
        <v>0</v>
      </c>
      <c r="X19" s="25">
        <f>I19*Assumptions!$B$3</f>
        <v>0</v>
      </c>
      <c r="Y19" s="25">
        <f>J19*Assumptions!$B$3</f>
        <v>0</v>
      </c>
      <c r="Z19" s="25">
        <f>K19*Assumptions!$B$3</f>
        <v>260.63049999999998</v>
      </c>
      <c r="AA19" s="25">
        <f>L19*Assumptions!$B$3</f>
        <v>3074.3894999999998</v>
      </c>
      <c r="AB19" s="25">
        <f>M19*Assumptions!$B$3</f>
        <v>6157.3134999999993</v>
      </c>
      <c r="AC19" s="25">
        <f>N19*Assumptions!$B$3</f>
        <v>14901.236999999999</v>
      </c>
      <c r="AD19" s="25">
        <f t="shared" si="1"/>
        <v>24393.570499999998</v>
      </c>
      <c r="AF19" s="8" t="s">
        <v>87</v>
      </c>
      <c r="AG19" s="25">
        <f>C19*Assumptions!$B$4</f>
        <v>0</v>
      </c>
      <c r="AH19" s="25">
        <f>D19*Assumptions!$B$4</f>
        <v>0</v>
      </c>
      <c r="AI19" s="25">
        <f>E19*Assumptions!$B$4</f>
        <v>0</v>
      </c>
      <c r="AJ19" s="25">
        <f>F19*Assumptions!$B$4</f>
        <v>0</v>
      </c>
      <c r="AK19" s="25">
        <f>G19*Assumptions!$B$4</f>
        <v>0</v>
      </c>
      <c r="AL19" s="25">
        <f>H19*Assumptions!$B$4</f>
        <v>0</v>
      </c>
      <c r="AM19" s="25">
        <f>I19*Assumptions!$B$4</f>
        <v>0</v>
      </c>
      <c r="AN19" s="25">
        <f>J19*Assumptions!$B$4</f>
        <v>0</v>
      </c>
      <c r="AO19" s="25">
        <f>K19*Assumptions!$B$4</f>
        <v>136.36950000000002</v>
      </c>
      <c r="AP19" s="25">
        <f>L19*Assumptions!$B$4</f>
        <v>1608.6105000000002</v>
      </c>
      <c r="AQ19" s="25">
        <f>M19*Assumptions!$B$4</f>
        <v>3221.6865000000003</v>
      </c>
      <c r="AR19" s="25">
        <f>N19*Assumptions!$B$4</f>
        <v>7796.7630000000008</v>
      </c>
      <c r="AS19" s="25">
        <f t="shared" si="2"/>
        <v>12763.429500000002</v>
      </c>
      <c r="AT19" s="1">
        <f>AS19</f>
        <v>12763.429500000002</v>
      </c>
    </row>
    <row r="20" spans="1:46" x14ac:dyDescent="0.2">
      <c r="A20" s="8" t="s">
        <v>66</v>
      </c>
      <c r="B20" s="8" t="s">
        <v>67</v>
      </c>
      <c r="C20" s="1">
        <v>10686</v>
      </c>
      <c r="D20" s="1">
        <v>10362</v>
      </c>
      <c r="E20" s="1">
        <v>11335</v>
      </c>
      <c r="F20" s="1">
        <v>10801</v>
      </c>
      <c r="G20" s="1">
        <v>8642</v>
      </c>
      <c r="H20" s="1">
        <v>11981</v>
      </c>
      <c r="I20" s="1">
        <v>11359</v>
      </c>
      <c r="J20" s="1">
        <v>9583</v>
      </c>
      <c r="K20" s="1">
        <v>9922</v>
      </c>
      <c r="L20" s="1">
        <v>10568</v>
      </c>
      <c r="M20" s="1">
        <v>8475</v>
      </c>
      <c r="N20" s="1">
        <v>11411</v>
      </c>
      <c r="O20" s="1">
        <f t="shared" si="3"/>
        <v>125125</v>
      </c>
      <c r="P20" s="1"/>
      <c r="Q20" t="s">
        <v>23</v>
      </c>
      <c r="R20" s="25">
        <f>C20</f>
        <v>10686</v>
      </c>
      <c r="S20" s="25">
        <f t="shared" ref="S20:AC21" si="4">D20</f>
        <v>10362</v>
      </c>
      <c r="T20" s="25">
        <f t="shared" si="4"/>
        <v>11335</v>
      </c>
      <c r="U20" s="25">
        <f t="shared" si="4"/>
        <v>10801</v>
      </c>
      <c r="V20" s="25">
        <f t="shared" si="4"/>
        <v>8642</v>
      </c>
      <c r="W20" s="25">
        <f t="shared" si="4"/>
        <v>11981</v>
      </c>
      <c r="X20" s="25">
        <f t="shared" si="4"/>
        <v>11359</v>
      </c>
      <c r="Y20" s="25">
        <f t="shared" si="4"/>
        <v>9583</v>
      </c>
      <c r="Z20" s="25">
        <f t="shared" si="4"/>
        <v>9922</v>
      </c>
      <c r="AA20" s="25">
        <f t="shared" si="4"/>
        <v>10568</v>
      </c>
      <c r="AB20" s="25">
        <f t="shared" si="4"/>
        <v>8475</v>
      </c>
      <c r="AC20" s="25">
        <f t="shared" si="4"/>
        <v>11411</v>
      </c>
      <c r="AD20" s="25">
        <f t="shared" si="1"/>
        <v>125125</v>
      </c>
      <c r="AF20" s="8" t="s">
        <v>23</v>
      </c>
      <c r="AG20" s="25">
        <v>0</v>
      </c>
      <c r="AH20" s="25">
        <v>0</v>
      </c>
      <c r="AI20" s="25">
        <v>0</v>
      </c>
      <c r="AJ20" s="25">
        <v>0</v>
      </c>
      <c r="AK20" s="25">
        <v>0</v>
      </c>
      <c r="AL20" s="25">
        <v>0</v>
      </c>
      <c r="AM20" s="25">
        <v>0</v>
      </c>
      <c r="AN20" s="25">
        <v>0</v>
      </c>
      <c r="AO20" s="25">
        <v>0</v>
      </c>
      <c r="AP20" s="25">
        <v>0</v>
      </c>
      <c r="AQ20" s="25">
        <v>0</v>
      </c>
      <c r="AR20" s="25">
        <v>0</v>
      </c>
      <c r="AS20" s="25">
        <f t="shared" si="2"/>
        <v>0</v>
      </c>
      <c r="AT20" s="25">
        <v>0</v>
      </c>
    </row>
    <row r="21" spans="1:46" x14ac:dyDescent="0.2">
      <c r="A21" s="8" t="s">
        <v>66</v>
      </c>
      <c r="B21" s="8" t="s">
        <v>68</v>
      </c>
      <c r="C21" s="1">
        <v>4873</v>
      </c>
      <c r="D21" s="1">
        <v>7712</v>
      </c>
      <c r="E21" s="1">
        <v>5766</v>
      </c>
      <c r="F21" s="1">
        <v>8436</v>
      </c>
      <c r="G21" s="1">
        <v>6507</v>
      </c>
      <c r="H21" s="1">
        <v>7058</v>
      </c>
      <c r="I21" s="1">
        <v>1049</v>
      </c>
      <c r="J21" s="1">
        <v>-1556</v>
      </c>
      <c r="K21" s="1">
        <v>-1407</v>
      </c>
      <c r="L21" s="1">
        <v>873</v>
      </c>
      <c r="M21" s="1">
        <v>4073</v>
      </c>
      <c r="N21" s="1">
        <v>4105</v>
      </c>
      <c r="O21" s="1">
        <f t="shared" si="3"/>
        <v>47489</v>
      </c>
      <c r="P21" s="1"/>
      <c r="Q21" t="s">
        <v>23</v>
      </c>
      <c r="R21" s="25">
        <f t="shared" ref="R21" si="5">C21</f>
        <v>4873</v>
      </c>
      <c r="S21" s="25">
        <f t="shared" si="4"/>
        <v>7712</v>
      </c>
      <c r="T21" s="25">
        <f t="shared" si="4"/>
        <v>5766</v>
      </c>
      <c r="U21" s="25">
        <f t="shared" si="4"/>
        <v>8436</v>
      </c>
      <c r="V21" s="25">
        <f t="shared" si="4"/>
        <v>6507</v>
      </c>
      <c r="W21" s="25">
        <f t="shared" si="4"/>
        <v>7058</v>
      </c>
      <c r="X21" s="25">
        <f t="shared" si="4"/>
        <v>1049</v>
      </c>
      <c r="Y21" s="25">
        <f t="shared" si="4"/>
        <v>-1556</v>
      </c>
      <c r="Z21" s="25">
        <f t="shared" si="4"/>
        <v>-1407</v>
      </c>
      <c r="AA21" s="25">
        <f t="shared" si="4"/>
        <v>873</v>
      </c>
      <c r="AB21" s="25">
        <f t="shared" si="4"/>
        <v>4073</v>
      </c>
      <c r="AC21" s="25">
        <f t="shared" si="4"/>
        <v>4105</v>
      </c>
      <c r="AD21" s="25">
        <f t="shared" si="1"/>
        <v>47489</v>
      </c>
      <c r="AF21" s="8" t="s">
        <v>23</v>
      </c>
      <c r="AG21" s="25">
        <v>0</v>
      </c>
      <c r="AH21" s="25">
        <v>0</v>
      </c>
      <c r="AI21" s="25">
        <v>0</v>
      </c>
      <c r="AJ21" s="25">
        <v>0</v>
      </c>
      <c r="AK21" s="25">
        <v>0</v>
      </c>
      <c r="AL21" s="25">
        <v>0</v>
      </c>
      <c r="AM21" s="25">
        <v>0</v>
      </c>
      <c r="AN21" s="25">
        <v>0</v>
      </c>
      <c r="AO21" s="25">
        <v>0</v>
      </c>
      <c r="AP21" s="25">
        <v>0</v>
      </c>
      <c r="AQ21" s="25">
        <v>0</v>
      </c>
      <c r="AR21" s="25">
        <v>0</v>
      </c>
      <c r="AS21" s="25">
        <f t="shared" si="2"/>
        <v>0</v>
      </c>
      <c r="AT21" s="25">
        <v>0</v>
      </c>
    </row>
    <row r="22" spans="1:46" x14ac:dyDescent="0.2">
      <c r="A22" s="8" t="s">
        <v>66</v>
      </c>
      <c r="B22" s="8" t="s">
        <v>7</v>
      </c>
      <c r="C22" s="1">
        <v>1885</v>
      </c>
      <c r="D22" s="1">
        <v>2440</v>
      </c>
      <c r="E22" s="1">
        <v>3373</v>
      </c>
      <c r="F22" s="1">
        <v>3676</v>
      </c>
      <c r="G22" s="1">
        <v>3556</v>
      </c>
      <c r="H22" s="1">
        <v>3567</v>
      </c>
      <c r="I22" s="1">
        <v>3174</v>
      </c>
      <c r="J22" s="1">
        <v>2950</v>
      </c>
      <c r="K22" s="1">
        <v>1550</v>
      </c>
      <c r="L22" s="1">
        <v>989</v>
      </c>
      <c r="M22" s="1">
        <v>1230</v>
      </c>
      <c r="N22" s="1">
        <v>1376</v>
      </c>
      <c r="O22" s="1">
        <f t="shared" si="3"/>
        <v>29766</v>
      </c>
      <c r="P22" s="1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 t="s">
        <v>111</v>
      </c>
    </row>
    <row r="23" spans="1:46" x14ac:dyDescent="0.2">
      <c r="A23" s="8"/>
      <c r="B23" s="8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</row>
    <row r="24" spans="1:46" x14ac:dyDescent="0.2">
      <c r="A24" s="30" t="s">
        <v>69</v>
      </c>
      <c r="B24" s="8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</row>
    <row r="25" spans="1:46" x14ac:dyDescent="0.2">
      <c r="A25" s="8" t="s">
        <v>1</v>
      </c>
      <c r="B25" s="8" t="s">
        <v>70</v>
      </c>
      <c r="C25" s="1">
        <v>201090</v>
      </c>
      <c r="D25" s="1">
        <v>179946</v>
      </c>
      <c r="E25" s="1">
        <v>204147</v>
      </c>
      <c r="F25" s="1">
        <v>122781</v>
      </c>
      <c r="G25" s="1">
        <v>0</v>
      </c>
      <c r="H25" s="1">
        <v>14879</v>
      </c>
      <c r="I25" s="1">
        <v>115575</v>
      </c>
      <c r="J25" s="1">
        <v>192632</v>
      </c>
      <c r="K25" s="1">
        <v>189133</v>
      </c>
      <c r="L25" s="1">
        <v>183208</v>
      </c>
      <c r="M25" s="1">
        <v>163499</v>
      </c>
      <c r="N25" s="1">
        <v>200442</v>
      </c>
      <c r="O25" s="1">
        <f t="shared" ref="O25:O41" si="6">SUM(C25:N25)</f>
        <v>1767332</v>
      </c>
      <c r="P25" s="1"/>
    </row>
    <row r="26" spans="1:46" x14ac:dyDescent="0.2">
      <c r="A26" s="8" t="s">
        <v>1</v>
      </c>
      <c r="B26" s="8" t="s">
        <v>71</v>
      </c>
      <c r="C26" s="1">
        <v>179108</v>
      </c>
      <c r="D26" s="1">
        <v>132742</v>
      </c>
      <c r="E26" s="1">
        <v>184403</v>
      </c>
      <c r="F26" s="1">
        <v>171515</v>
      </c>
      <c r="G26" s="1">
        <v>34474</v>
      </c>
      <c r="H26" s="1">
        <v>11412</v>
      </c>
      <c r="I26" s="1">
        <v>97241</v>
      </c>
      <c r="J26" s="1">
        <v>169710</v>
      </c>
      <c r="K26" s="1">
        <v>169306</v>
      </c>
      <c r="L26" s="1">
        <v>176279</v>
      </c>
      <c r="M26" s="1">
        <v>176836</v>
      </c>
      <c r="N26" s="1">
        <v>182053</v>
      </c>
      <c r="O26" s="1">
        <f t="shared" si="6"/>
        <v>1685079</v>
      </c>
      <c r="P26" s="1"/>
    </row>
    <row r="27" spans="1:46" x14ac:dyDescent="0.2">
      <c r="A27" s="8" t="s">
        <v>1</v>
      </c>
      <c r="B27" s="8" t="s">
        <v>72</v>
      </c>
      <c r="C27" s="1">
        <v>0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">
        <v>41</v>
      </c>
      <c r="L27" s="1">
        <v>52</v>
      </c>
      <c r="M27" s="1">
        <v>573</v>
      </c>
      <c r="N27" s="1">
        <v>0</v>
      </c>
      <c r="O27" s="1">
        <f t="shared" si="6"/>
        <v>666</v>
      </c>
      <c r="P27" s="1"/>
    </row>
    <row r="28" spans="1:46" x14ac:dyDescent="0.2">
      <c r="A28" s="8" t="s">
        <v>1</v>
      </c>
      <c r="B28" s="8" t="s">
        <v>73</v>
      </c>
      <c r="C28" s="1">
        <v>1018</v>
      </c>
      <c r="D28" s="1">
        <v>3314</v>
      </c>
      <c r="E28" s="1">
        <v>28448</v>
      </c>
      <c r="F28" s="1">
        <v>42082</v>
      </c>
      <c r="G28" s="1">
        <v>2613</v>
      </c>
      <c r="H28" s="1">
        <v>2848</v>
      </c>
      <c r="I28" s="1">
        <v>6607</v>
      </c>
      <c r="J28" s="1">
        <v>13306</v>
      </c>
      <c r="K28" s="1">
        <v>23375</v>
      </c>
      <c r="L28" s="1">
        <v>40388</v>
      </c>
      <c r="M28" s="1">
        <v>2572</v>
      </c>
      <c r="N28" s="1">
        <v>4451</v>
      </c>
      <c r="O28" s="1">
        <f t="shared" si="6"/>
        <v>171022</v>
      </c>
      <c r="P28" s="1"/>
    </row>
    <row r="29" spans="1:46" x14ac:dyDescent="0.2">
      <c r="A29" s="8" t="s">
        <v>1</v>
      </c>
      <c r="B29" s="8" t="s">
        <v>74</v>
      </c>
      <c r="C29" s="1">
        <v>1147</v>
      </c>
      <c r="D29" s="1">
        <v>640</v>
      </c>
      <c r="E29" s="1">
        <v>4856</v>
      </c>
      <c r="F29" s="1">
        <v>6584</v>
      </c>
      <c r="G29" s="1">
        <v>729</v>
      </c>
      <c r="H29" s="1">
        <v>1343</v>
      </c>
      <c r="I29" s="1">
        <v>2775</v>
      </c>
      <c r="J29" s="1">
        <v>4636</v>
      </c>
      <c r="K29" s="1">
        <v>8477</v>
      </c>
      <c r="L29" s="1">
        <v>11650</v>
      </c>
      <c r="M29" s="1">
        <v>2841</v>
      </c>
      <c r="N29" s="1">
        <v>2462</v>
      </c>
      <c r="O29" s="1">
        <f t="shared" si="6"/>
        <v>48140</v>
      </c>
      <c r="P29" s="1"/>
    </row>
    <row r="30" spans="1:46" x14ac:dyDescent="0.2">
      <c r="A30" s="8" t="s">
        <v>1</v>
      </c>
      <c r="B30" s="8" t="s">
        <v>75</v>
      </c>
      <c r="C30" s="1">
        <v>0</v>
      </c>
      <c r="D30" s="1">
        <v>175</v>
      </c>
      <c r="E30" s="1">
        <v>139</v>
      </c>
      <c r="F30" s="1">
        <v>38</v>
      </c>
      <c r="G30" s="1">
        <v>0</v>
      </c>
      <c r="H30" s="1">
        <v>0</v>
      </c>
      <c r="I30" s="1">
        <v>111</v>
      </c>
      <c r="J30" s="1">
        <v>496</v>
      </c>
      <c r="K30" s="1">
        <v>181</v>
      </c>
      <c r="L30" s="1">
        <v>95</v>
      </c>
      <c r="M30" s="1">
        <v>0</v>
      </c>
      <c r="N30" s="1">
        <v>0</v>
      </c>
      <c r="O30" s="1">
        <f t="shared" si="6"/>
        <v>1235</v>
      </c>
      <c r="P30" s="1"/>
    </row>
    <row r="31" spans="1:46" x14ac:dyDescent="0.2">
      <c r="A31" s="8" t="s">
        <v>4</v>
      </c>
      <c r="B31" s="8" t="s">
        <v>76</v>
      </c>
      <c r="C31" s="1">
        <v>157889</v>
      </c>
      <c r="D31" s="1">
        <v>117869</v>
      </c>
      <c r="E31" s="1">
        <v>137883</v>
      </c>
      <c r="F31" s="1">
        <v>129471</v>
      </c>
      <c r="G31" s="1">
        <v>40356</v>
      </c>
      <c r="H31" s="1">
        <v>37921</v>
      </c>
      <c r="I31" s="1">
        <v>96819</v>
      </c>
      <c r="J31" s="1">
        <v>134957</v>
      </c>
      <c r="K31" s="1">
        <v>83783</v>
      </c>
      <c r="L31" s="1">
        <v>57396</v>
      </c>
      <c r="M31" s="1">
        <v>85575</v>
      </c>
      <c r="N31" s="1">
        <v>140392</v>
      </c>
      <c r="O31" s="1">
        <f t="shared" si="6"/>
        <v>1220311</v>
      </c>
      <c r="P31" s="1"/>
    </row>
    <row r="32" spans="1:46" x14ac:dyDescent="0.2">
      <c r="A32" s="8" t="s">
        <v>66</v>
      </c>
      <c r="B32" s="8" t="s">
        <v>77</v>
      </c>
      <c r="C32" s="1">
        <v>38011</v>
      </c>
      <c r="D32" s="1">
        <v>36416</v>
      </c>
      <c r="E32" s="1">
        <v>38238</v>
      </c>
      <c r="F32" s="1">
        <v>37145</v>
      </c>
      <c r="G32" s="1">
        <v>35052</v>
      </c>
      <c r="H32" s="1">
        <v>26039</v>
      </c>
      <c r="I32" s="1">
        <v>18414</v>
      </c>
      <c r="J32" s="1">
        <v>39813</v>
      </c>
      <c r="K32" s="1">
        <v>41740</v>
      </c>
      <c r="L32" s="1">
        <v>40576</v>
      </c>
      <c r="M32" s="1">
        <v>36356</v>
      </c>
      <c r="N32" s="1">
        <v>39154</v>
      </c>
      <c r="O32" s="1">
        <f t="shared" si="6"/>
        <v>426954</v>
      </c>
      <c r="P32" s="1"/>
    </row>
    <row r="33" spans="1:16" x14ac:dyDescent="0.2">
      <c r="A33" s="8" t="s">
        <v>66</v>
      </c>
      <c r="B33" s="8" t="s">
        <v>78</v>
      </c>
      <c r="C33" s="1">
        <v>3166</v>
      </c>
      <c r="D33" s="1">
        <v>2693</v>
      </c>
      <c r="E33" s="1">
        <v>2802</v>
      </c>
      <c r="F33" s="1">
        <v>2174</v>
      </c>
      <c r="G33" s="1">
        <v>3705</v>
      </c>
      <c r="H33" s="1">
        <v>3497</v>
      </c>
      <c r="I33" s="1">
        <v>3790</v>
      </c>
      <c r="J33" s="1">
        <v>2157</v>
      </c>
      <c r="K33" s="1">
        <v>3647</v>
      </c>
      <c r="L33" s="1">
        <v>3509</v>
      </c>
      <c r="M33" s="1">
        <v>2464</v>
      </c>
      <c r="N33" s="1">
        <v>2919</v>
      </c>
      <c r="O33" s="1">
        <f t="shared" si="6"/>
        <v>36523</v>
      </c>
      <c r="P33" s="1"/>
    </row>
    <row r="34" spans="1:16" x14ac:dyDescent="0.2">
      <c r="A34" s="8" t="s">
        <v>66</v>
      </c>
      <c r="B34" s="8" t="s">
        <v>79</v>
      </c>
      <c r="C34" s="1">
        <v>51</v>
      </c>
      <c r="D34" s="1">
        <v>59</v>
      </c>
      <c r="E34" s="1">
        <v>155</v>
      </c>
      <c r="F34" s="1">
        <v>369</v>
      </c>
      <c r="G34" s="1">
        <v>584</v>
      </c>
      <c r="H34" s="1">
        <v>570</v>
      </c>
      <c r="I34" s="1">
        <v>555</v>
      </c>
      <c r="J34" s="1">
        <v>250</v>
      </c>
      <c r="K34" s="1">
        <v>88</v>
      </c>
      <c r="L34" s="1">
        <v>80</v>
      </c>
      <c r="M34" s="1">
        <v>72</v>
      </c>
      <c r="N34" s="1">
        <v>62</v>
      </c>
      <c r="O34" s="1">
        <f t="shared" si="6"/>
        <v>2895</v>
      </c>
      <c r="P34" s="1"/>
    </row>
    <row r="35" spans="1:16" x14ac:dyDescent="0.2">
      <c r="A35" s="8"/>
      <c r="B35" s="8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 x14ac:dyDescent="0.2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</row>
    <row r="37" spans="1:16" x14ac:dyDescent="0.2">
      <c r="A37" s="8"/>
      <c r="B37" s="8" t="s">
        <v>80</v>
      </c>
      <c r="C37" s="31">
        <f t="shared" ref="C37:O37" si="7">SUM(C7:C34)</f>
        <v>1089026</v>
      </c>
      <c r="D37" s="31">
        <f t="shared" si="7"/>
        <v>951004</v>
      </c>
      <c r="E37" s="31">
        <f t="shared" si="7"/>
        <v>1028062</v>
      </c>
      <c r="F37" s="31">
        <f t="shared" si="7"/>
        <v>1009007</v>
      </c>
      <c r="G37" s="31">
        <f t="shared" si="7"/>
        <v>859420</v>
      </c>
      <c r="H37" s="31">
        <f t="shared" si="7"/>
        <v>778972</v>
      </c>
      <c r="I37" s="31">
        <f t="shared" si="7"/>
        <v>923185</v>
      </c>
      <c r="J37" s="31">
        <f t="shared" si="7"/>
        <v>903785</v>
      </c>
      <c r="K37" s="31">
        <f t="shared" si="7"/>
        <v>790661</v>
      </c>
      <c r="L37" s="31">
        <f t="shared" si="7"/>
        <v>867118</v>
      </c>
      <c r="M37" s="31">
        <f t="shared" si="7"/>
        <v>939913</v>
      </c>
      <c r="N37" s="31">
        <f t="shared" si="7"/>
        <v>1050988</v>
      </c>
      <c r="O37" s="31">
        <f t="shared" si="7"/>
        <v>11191141</v>
      </c>
      <c r="P37" s="31"/>
    </row>
    <row r="38" spans="1:16" x14ac:dyDescent="0.2">
      <c r="A38" s="8"/>
      <c r="B38" s="8" t="s">
        <v>9</v>
      </c>
      <c r="C38" s="31">
        <v>-895217</v>
      </c>
      <c r="D38" s="31">
        <v>-812765</v>
      </c>
      <c r="E38" s="31">
        <v>-808137</v>
      </c>
      <c r="F38" s="31">
        <v>-693279</v>
      </c>
      <c r="G38" s="31">
        <v>-676379</v>
      </c>
      <c r="H38" s="31">
        <v>-675708</v>
      </c>
      <c r="I38" s="31">
        <v>-793168</v>
      </c>
      <c r="J38" s="31">
        <v>-813965</v>
      </c>
      <c r="K38" s="31">
        <v>-695147</v>
      </c>
      <c r="L38" s="31">
        <v>-752194</v>
      </c>
      <c r="M38" s="31">
        <v>-814008</v>
      </c>
      <c r="N38" s="31">
        <v>-916387</v>
      </c>
      <c r="O38" s="31">
        <f t="shared" si="6"/>
        <v>-9346354</v>
      </c>
      <c r="P38" s="31"/>
    </row>
    <row r="39" spans="1:16" x14ac:dyDescent="0.2">
      <c r="A39" s="8"/>
      <c r="B39" s="8" t="s">
        <v>81</v>
      </c>
      <c r="C39" s="1">
        <v>-290553</v>
      </c>
      <c r="D39" s="1">
        <v>-268717</v>
      </c>
      <c r="E39" s="1">
        <v>-285513</v>
      </c>
      <c r="F39" s="1">
        <v>-445872</v>
      </c>
      <c r="G39" s="1">
        <v>-345982</v>
      </c>
      <c r="H39" s="1">
        <v>-256059</v>
      </c>
      <c r="I39" s="1">
        <v>-279146</v>
      </c>
      <c r="J39" s="1">
        <v>-219068</v>
      </c>
      <c r="K39" s="1">
        <v>-186596</v>
      </c>
      <c r="L39" s="1">
        <v>-204812</v>
      </c>
      <c r="M39" s="1">
        <v>-213672</v>
      </c>
      <c r="N39" s="1">
        <v>-220667</v>
      </c>
      <c r="O39" s="1">
        <f t="shared" si="6"/>
        <v>-3216657</v>
      </c>
      <c r="P39" s="1"/>
    </row>
    <row r="40" spans="1:16" x14ac:dyDescent="0.2">
      <c r="A40" s="8"/>
      <c r="B40" s="8" t="s">
        <v>82</v>
      </c>
      <c r="C40" s="1">
        <v>97435</v>
      </c>
      <c r="D40" s="1">
        <v>131130</v>
      </c>
      <c r="E40" s="1">
        <v>66416</v>
      </c>
      <c r="F40" s="1">
        <v>131010</v>
      </c>
      <c r="G40" s="1">
        <v>164728</v>
      </c>
      <c r="H40" s="1">
        <v>150442</v>
      </c>
      <c r="I40" s="1">
        <v>145758</v>
      </c>
      <c r="J40" s="1">
        <v>131958</v>
      </c>
      <c r="K40" s="1">
        <v>92420</v>
      </c>
      <c r="L40" s="1">
        <v>89809</v>
      </c>
      <c r="M40" s="1">
        <v>90392</v>
      </c>
      <c r="N40" s="1">
        <v>88612</v>
      </c>
      <c r="O40" s="1">
        <f t="shared" si="6"/>
        <v>1380110</v>
      </c>
      <c r="P40" s="1"/>
    </row>
    <row r="41" spans="1:16" x14ac:dyDescent="0.2">
      <c r="A41" s="8"/>
      <c r="B41" s="8" t="s">
        <v>5</v>
      </c>
      <c r="C41" s="1">
        <v>-691</v>
      </c>
      <c r="D41" s="1">
        <v>-652</v>
      </c>
      <c r="E41" s="1">
        <v>-828</v>
      </c>
      <c r="F41" s="1">
        <v>-866</v>
      </c>
      <c r="G41" s="1">
        <v>-1787</v>
      </c>
      <c r="H41" s="1">
        <v>2353</v>
      </c>
      <c r="I41" s="1">
        <v>3371</v>
      </c>
      <c r="J41" s="1">
        <v>-2710</v>
      </c>
      <c r="K41" s="1">
        <v>-1338</v>
      </c>
      <c r="L41" s="1">
        <v>79</v>
      </c>
      <c r="M41" s="1">
        <v>-2625</v>
      </c>
      <c r="N41" s="1">
        <v>-2546</v>
      </c>
      <c r="O41" s="1">
        <f t="shared" si="6"/>
        <v>-8240</v>
      </c>
      <c r="P41" s="1"/>
    </row>
    <row r="42" spans="1:16" x14ac:dyDescent="0.2">
      <c r="A42" s="8"/>
      <c r="B42" s="8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1:16" x14ac:dyDescent="0.2">
      <c r="A43" s="8"/>
      <c r="B43" s="8" t="s">
        <v>8</v>
      </c>
      <c r="C43" s="2">
        <f>SUM(C37:C41)</f>
        <v>0</v>
      </c>
      <c r="D43" s="2">
        <f t="shared" ref="D43:O43" si="8">SUM(D37:D41)</f>
        <v>0</v>
      </c>
      <c r="E43" s="2">
        <f t="shared" si="8"/>
        <v>0</v>
      </c>
      <c r="F43" s="2">
        <f t="shared" si="8"/>
        <v>0</v>
      </c>
      <c r="G43" s="2">
        <f t="shared" si="8"/>
        <v>0</v>
      </c>
      <c r="H43" s="2">
        <f t="shared" si="8"/>
        <v>0</v>
      </c>
      <c r="I43" s="2">
        <f t="shared" si="8"/>
        <v>0</v>
      </c>
      <c r="J43" s="2">
        <f t="shared" si="8"/>
        <v>0</v>
      </c>
      <c r="K43" s="2">
        <f t="shared" si="8"/>
        <v>0</v>
      </c>
      <c r="L43" s="2">
        <f t="shared" si="8"/>
        <v>0</v>
      </c>
      <c r="M43" s="2">
        <f t="shared" si="8"/>
        <v>0</v>
      </c>
      <c r="N43" s="2">
        <f t="shared" si="8"/>
        <v>0</v>
      </c>
      <c r="O43" s="2">
        <f t="shared" si="8"/>
        <v>0</v>
      </c>
      <c r="P43" s="2"/>
    </row>
  </sheetData>
  <mergeCells count="3">
    <mergeCell ref="R2:AD2"/>
    <mergeCell ref="AG2:AS2"/>
    <mergeCell ref="AT2:AT3"/>
  </mergeCell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639B82-0BEA-4BD0-8107-0BEDC53DB2F6}">
  <dimension ref="A1:D14"/>
  <sheetViews>
    <sheetView workbookViewId="0">
      <selection activeCell="D15" sqref="D15"/>
    </sheetView>
  </sheetViews>
  <sheetFormatPr defaultRowHeight="12.75" x14ac:dyDescent="0.2"/>
  <cols>
    <col min="1" max="1" width="9.140625" style="35"/>
    <col min="2" max="2" width="30.85546875" style="35" bestFit="1" customWidth="1"/>
    <col min="3" max="3" width="5.140625" style="35" bestFit="1" customWidth="1"/>
    <col min="4" max="4" width="10.28515625" style="57" bestFit="1" customWidth="1"/>
    <col min="5" max="16384" width="9.140625" style="35"/>
  </cols>
  <sheetData>
    <row r="1" spans="1:4" ht="20.25" x14ac:dyDescent="0.3">
      <c r="A1" s="52" t="s">
        <v>102</v>
      </c>
    </row>
    <row r="2" spans="1:4" x14ac:dyDescent="0.2">
      <c r="A2" s="53" t="s">
        <v>107</v>
      </c>
    </row>
    <row r="4" spans="1:4" x14ac:dyDescent="0.2">
      <c r="B4" s="53"/>
      <c r="C4" s="54"/>
    </row>
    <row r="5" spans="1:4" x14ac:dyDescent="0.2">
      <c r="A5" s="53" t="s">
        <v>97</v>
      </c>
      <c r="B5" s="53" t="s">
        <v>39</v>
      </c>
      <c r="C5" s="54" t="s">
        <v>96</v>
      </c>
      <c r="D5" s="58" t="s">
        <v>95</v>
      </c>
    </row>
    <row r="6" spans="1:4" x14ac:dyDescent="0.2">
      <c r="A6" s="55" t="s">
        <v>23</v>
      </c>
      <c r="B6" s="55" t="s">
        <v>91</v>
      </c>
      <c r="C6" s="56">
        <v>2020</v>
      </c>
      <c r="D6" s="57">
        <v>8697</v>
      </c>
    </row>
    <row r="7" spans="1:4" x14ac:dyDescent="0.2">
      <c r="A7" s="55" t="s">
        <v>23</v>
      </c>
      <c r="B7" s="55" t="s">
        <v>110</v>
      </c>
      <c r="C7" s="56">
        <v>2020</v>
      </c>
      <c r="D7" s="57">
        <v>11549</v>
      </c>
    </row>
    <row r="8" spans="1:4" x14ac:dyDescent="0.2">
      <c r="A8" s="55" t="s">
        <v>23</v>
      </c>
      <c r="B8" s="55" t="s">
        <v>92</v>
      </c>
      <c r="C8" s="56">
        <v>2020</v>
      </c>
      <c r="D8" s="57">
        <v>26</v>
      </c>
    </row>
    <row r="9" spans="1:4" x14ac:dyDescent="0.2">
      <c r="A9" s="55" t="s">
        <v>23</v>
      </c>
      <c r="B9" s="55" t="s">
        <v>109</v>
      </c>
      <c r="C9" s="56">
        <v>2020</v>
      </c>
      <c r="D9" s="57">
        <v>1034</v>
      </c>
    </row>
    <row r="10" spans="1:4" x14ac:dyDescent="0.2">
      <c r="A10" s="55" t="s">
        <v>23</v>
      </c>
      <c r="B10" s="55" t="s">
        <v>93</v>
      </c>
      <c r="C10" s="56">
        <v>2020</v>
      </c>
      <c r="D10" s="57">
        <v>1055</v>
      </c>
    </row>
    <row r="11" spans="1:4" x14ac:dyDescent="0.2">
      <c r="A11" s="55" t="s">
        <v>23</v>
      </c>
      <c r="B11" s="55" t="s">
        <v>94</v>
      </c>
      <c r="C11" s="56">
        <v>2020</v>
      </c>
      <c r="D11" s="57">
        <v>331</v>
      </c>
    </row>
    <row r="12" spans="1:4" x14ac:dyDescent="0.2">
      <c r="A12" s="55" t="s">
        <v>23</v>
      </c>
      <c r="B12" s="59" t="s">
        <v>108</v>
      </c>
      <c r="C12" s="56">
        <v>2020</v>
      </c>
      <c r="D12" s="57">
        <v>44</v>
      </c>
    </row>
    <row r="14" spans="1:4" x14ac:dyDescent="0.2">
      <c r="B14" s="35" t="s">
        <v>98</v>
      </c>
      <c r="D14" s="57">
        <f>SUM(D6:D12)</f>
        <v>22736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E32DAE-5B50-4E6A-A0C2-AC1A250CEBA0}">
  <sheetPr>
    <tabColor theme="4" tint="0.79998168889431442"/>
  </sheetPr>
  <dimension ref="A1:B21"/>
  <sheetViews>
    <sheetView workbookViewId="0">
      <selection activeCell="H36" sqref="H36"/>
    </sheetView>
  </sheetViews>
  <sheetFormatPr defaultRowHeight="12.75" x14ac:dyDescent="0.2"/>
  <cols>
    <col min="1" max="1" width="27.7109375" bestFit="1" customWidth="1"/>
    <col min="2" max="2" width="11.28515625" bestFit="1" customWidth="1"/>
    <col min="3" max="14" width="10" bestFit="1" customWidth="1"/>
    <col min="15" max="15" width="11" bestFit="1" customWidth="1"/>
  </cols>
  <sheetData>
    <row r="1" spans="1:2" ht="20.25" x14ac:dyDescent="0.3">
      <c r="A1" s="38" t="s">
        <v>99</v>
      </c>
    </row>
    <row r="3" spans="1:2" x14ac:dyDescent="0.2">
      <c r="A3" t="s">
        <v>10</v>
      </c>
      <c r="B3" s="6">
        <v>0.65649999999999997</v>
      </c>
    </row>
    <row r="4" spans="1:2" x14ac:dyDescent="0.2">
      <c r="A4" t="s">
        <v>11</v>
      </c>
      <c r="B4" s="5">
        <v>0.34350000000000003</v>
      </c>
    </row>
    <row r="6" spans="1:2" x14ac:dyDescent="0.2">
      <c r="A6" t="s">
        <v>16</v>
      </c>
    </row>
    <row r="7" spans="1:2" x14ac:dyDescent="0.2">
      <c r="A7" t="s">
        <v>12</v>
      </c>
      <c r="B7" s="1">
        <v>3413353</v>
      </c>
    </row>
    <row r="8" spans="1:2" x14ac:dyDescent="0.2">
      <c r="A8" t="s">
        <v>13</v>
      </c>
      <c r="B8" s="1">
        <v>948687</v>
      </c>
    </row>
    <row r="9" spans="1:2" x14ac:dyDescent="0.2">
      <c r="A9" t="s">
        <v>14</v>
      </c>
      <c r="B9" s="4">
        <v>5461691</v>
      </c>
    </row>
    <row r="10" spans="1:2" x14ac:dyDescent="0.2">
      <c r="A10" t="s">
        <v>15</v>
      </c>
      <c r="B10" s="1">
        <v>9823731</v>
      </c>
    </row>
    <row r="11" spans="1:2" x14ac:dyDescent="0.2">
      <c r="B11" s="2"/>
    </row>
    <row r="13" spans="1:2" x14ac:dyDescent="0.2">
      <c r="A13" s="28" t="s">
        <v>100</v>
      </c>
    </row>
    <row r="14" spans="1:2" x14ac:dyDescent="0.2">
      <c r="A14" t="s">
        <v>16</v>
      </c>
      <c r="B14" s="2">
        <f>B10</f>
        <v>9823731</v>
      </c>
    </row>
    <row r="15" spans="1:2" x14ac:dyDescent="0.2">
      <c r="A15" t="s">
        <v>18</v>
      </c>
      <c r="B15" s="1">
        <f>'Monthly Load Generation Balance'!O38</f>
        <v>-9346354</v>
      </c>
    </row>
    <row r="16" spans="1:2" x14ac:dyDescent="0.2">
      <c r="A16" t="s">
        <v>19</v>
      </c>
      <c r="B16" s="2">
        <f>SUM(B14:B15)</f>
        <v>477377</v>
      </c>
    </row>
    <row r="17" spans="1:2" x14ac:dyDescent="0.2">
      <c r="A17" t="s">
        <v>17</v>
      </c>
      <c r="B17" s="7">
        <f>B16/B15</f>
        <v>-5.1076280654466968E-2</v>
      </c>
    </row>
    <row r="19" spans="1:2" x14ac:dyDescent="0.2">
      <c r="A19" t="s">
        <v>35</v>
      </c>
      <c r="B19" s="21">
        <v>0.95399999999999996</v>
      </c>
    </row>
    <row r="21" spans="1:2" x14ac:dyDescent="0.2">
      <c r="A21" s="36" t="s">
        <v>88</v>
      </c>
      <c r="B21" s="37">
        <v>534</v>
      </c>
    </row>
  </sheetData>
  <pageMargins left="0.7" right="0.7" top="0.75" bottom="0.75" header="0.3" footer="0.3"/>
  <pageSetup orientation="portrait" horizontalDpi="90" verticalDpi="9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3E82D4-7649-452E-B018-893FBB8BCBDD}">
  <dimension ref="A1:E16"/>
  <sheetViews>
    <sheetView workbookViewId="0">
      <selection activeCell="D13" sqref="D13"/>
    </sheetView>
  </sheetViews>
  <sheetFormatPr defaultRowHeight="12.75" x14ac:dyDescent="0.2"/>
  <cols>
    <col min="1" max="1" width="9.140625" style="3"/>
    <col min="2" max="2" width="34.42578125" style="3" bestFit="1" customWidth="1"/>
    <col min="3" max="4" width="10.28515625" style="3" bestFit="1" customWidth="1"/>
    <col min="5" max="5" width="8.7109375" style="3" bestFit="1" customWidth="1"/>
    <col min="6" max="16384" width="9.140625" style="3"/>
  </cols>
  <sheetData>
    <row r="1" spans="1:5" ht="18" x14ac:dyDescent="0.25">
      <c r="A1" s="40" t="s">
        <v>89</v>
      </c>
    </row>
    <row r="3" spans="1:5" ht="13.5" thickBot="1" x14ac:dyDescent="0.25"/>
    <row r="4" spans="1:5" x14ac:dyDescent="0.2">
      <c r="B4" s="41" t="s">
        <v>103</v>
      </c>
      <c r="C4" s="42" t="s">
        <v>15</v>
      </c>
      <c r="D4" s="42" t="s">
        <v>23</v>
      </c>
      <c r="E4" s="43" t="s">
        <v>24</v>
      </c>
    </row>
    <row r="5" spans="1:5" x14ac:dyDescent="0.2">
      <c r="B5" s="44" t="s">
        <v>3</v>
      </c>
      <c r="C5" s="45">
        <v>57824</v>
      </c>
      <c r="D5" s="45">
        <f>C5*Assumptions!$B$3</f>
        <v>37961.455999999998</v>
      </c>
      <c r="E5" s="46">
        <f>C5*Assumptions!$B$4</f>
        <v>19862.544000000002</v>
      </c>
    </row>
    <row r="6" spans="1:5" x14ac:dyDescent="0.2">
      <c r="B6" s="44" t="s">
        <v>22</v>
      </c>
      <c r="C6" s="45">
        <v>6479</v>
      </c>
      <c r="D6" s="45">
        <f>C6*Assumptions!$B$3</f>
        <v>4253.4634999999998</v>
      </c>
      <c r="E6" s="46">
        <f>C6*Assumptions!$B$4</f>
        <v>2225.5365000000002</v>
      </c>
    </row>
    <row r="7" spans="1:5" x14ac:dyDescent="0.2">
      <c r="B7" s="44" t="s">
        <v>21</v>
      </c>
      <c r="C7" s="45">
        <v>767302</v>
      </c>
      <c r="D7" s="45">
        <f>C7*Assumptions!$B$3</f>
        <v>503733.76299999998</v>
      </c>
      <c r="E7" s="46">
        <f>C7*Assumptions!$B$4</f>
        <v>263568.23700000002</v>
      </c>
    </row>
    <row r="8" spans="1:5" x14ac:dyDescent="0.2">
      <c r="B8" s="44"/>
      <c r="C8" s="45">
        <f>SUM(C5:C7)</f>
        <v>831605</v>
      </c>
      <c r="D8" s="45">
        <f>SUM(D5:D7)</f>
        <v>545948.6825</v>
      </c>
      <c r="E8" s="46">
        <f>SUM(E5:E7)</f>
        <v>285656.3175</v>
      </c>
    </row>
    <row r="9" spans="1:5" x14ac:dyDescent="0.2">
      <c r="B9" s="44"/>
      <c r="C9" s="35"/>
      <c r="D9" s="35"/>
      <c r="E9" s="47"/>
    </row>
    <row r="10" spans="1:5" x14ac:dyDescent="0.2">
      <c r="B10" s="48" t="s">
        <v>104</v>
      </c>
      <c r="C10" s="45"/>
      <c r="D10" s="45"/>
      <c r="E10" s="46"/>
    </row>
    <row r="11" spans="1:5" x14ac:dyDescent="0.2">
      <c r="B11" s="44" t="s">
        <v>26</v>
      </c>
      <c r="C11" s="45">
        <f>SUM(D11:E11)</f>
        <v>0</v>
      </c>
      <c r="D11" s="45">
        <v>0</v>
      </c>
      <c r="E11" s="46">
        <v>0</v>
      </c>
    </row>
    <row r="12" spans="1:5" x14ac:dyDescent="0.2">
      <c r="B12" s="44" t="s">
        <v>22</v>
      </c>
      <c r="C12" s="45">
        <f>SUM(D12:E12)</f>
        <v>18802</v>
      </c>
      <c r="D12" s="45">
        <v>12343.512999999999</v>
      </c>
      <c r="E12" s="46">
        <v>6458.4870000000001</v>
      </c>
    </row>
    <row r="13" spans="1:5" x14ac:dyDescent="0.2">
      <c r="B13" s="44" t="s">
        <v>21</v>
      </c>
      <c r="C13" s="45">
        <f>SUM(D13:E13)</f>
        <v>1418698</v>
      </c>
      <c r="D13" s="45">
        <v>931375.23699999996</v>
      </c>
      <c r="E13" s="46">
        <v>487322.76300000004</v>
      </c>
    </row>
    <row r="14" spans="1:5" x14ac:dyDescent="0.2">
      <c r="B14" s="44"/>
      <c r="C14" s="45">
        <f>SUM(C11:C13)</f>
        <v>1437500</v>
      </c>
      <c r="D14" s="45">
        <f>SUM(D11:D13)</f>
        <v>943718.75</v>
      </c>
      <c r="E14" s="46">
        <f>SUM(E11:E13)</f>
        <v>493781.25000000006</v>
      </c>
    </row>
    <row r="15" spans="1:5" x14ac:dyDescent="0.2">
      <c r="B15" s="44"/>
      <c r="C15" s="45"/>
      <c r="D15" s="35"/>
      <c r="E15" s="47"/>
    </row>
    <row r="16" spans="1:5" ht="13.5" thickBot="1" x14ac:dyDescent="0.25">
      <c r="B16" s="49" t="s">
        <v>105</v>
      </c>
      <c r="C16" s="50">
        <f>C14+C8</f>
        <v>2269105</v>
      </c>
      <c r="D16" s="50">
        <f>D14+D8</f>
        <v>1489667.4325000001</v>
      </c>
      <c r="E16" s="51">
        <f>E14+E8</f>
        <v>779437.56750000012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0414F1-9D91-40EC-9BC7-271DDCFC9068}">
  <dimension ref="A1:T45"/>
  <sheetViews>
    <sheetView workbookViewId="0">
      <pane xSplit="2" ySplit="8" topLeftCell="C9" activePane="bottomRight" state="frozen"/>
      <selection pane="topRight" activeCell="C1" sqref="C1"/>
      <selection pane="bottomLeft" activeCell="A5" sqref="A5"/>
      <selection pane="bottomRight" activeCell="D37" sqref="D37"/>
    </sheetView>
  </sheetViews>
  <sheetFormatPr defaultRowHeight="12.75" x14ac:dyDescent="0.2"/>
  <cols>
    <col min="1" max="1" width="3.42578125" style="35" customWidth="1"/>
    <col min="2" max="2" width="31.5703125" style="35" customWidth="1"/>
    <col min="3" max="14" width="14.42578125" style="63" customWidth="1"/>
    <col min="15" max="15" width="15" style="35" customWidth="1"/>
    <col min="16" max="16" width="16" style="35" customWidth="1"/>
    <col min="17" max="17" width="9.140625" style="35"/>
    <col min="18" max="18" width="9.85546875" style="35" customWidth="1"/>
    <col min="19" max="19" width="10.28515625" style="35" customWidth="1"/>
    <col min="20" max="20" width="12.5703125" style="35" customWidth="1"/>
    <col min="21" max="16384" width="9.140625" style="35"/>
  </cols>
  <sheetData>
    <row r="1" spans="1:20" ht="20.25" x14ac:dyDescent="0.3">
      <c r="A1" s="52" t="s">
        <v>128</v>
      </c>
    </row>
    <row r="2" spans="1:20" x14ac:dyDescent="0.2">
      <c r="A2" s="35" t="s">
        <v>133</v>
      </c>
    </row>
    <row r="5" spans="1:20" x14ac:dyDescent="0.2">
      <c r="B5" s="35" t="s">
        <v>121</v>
      </c>
      <c r="C5" s="63">
        <v>744</v>
      </c>
      <c r="D5" s="63">
        <f>29*24</f>
        <v>696</v>
      </c>
      <c r="E5" s="63">
        <v>744</v>
      </c>
      <c r="F5" s="63">
        <v>720</v>
      </c>
      <c r="G5" s="63">
        <v>744</v>
      </c>
      <c r="H5" s="63">
        <v>720</v>
      </c>
      <c r="I5" s="63">
        <v>744</v>
      </c>
      <c r="J5" s="63">
        <v>744</v>
      </c>
      <c r="K5" s="63">
        <v>720</v>
      </c>
      <c r="L5" s="63">
        <v>744</v>
      </c>
      <c r="M5" s="63">
        <v>720</v>
      </c>
      <c r="N5" s="63">
        <v>744</v>
      </c>
      <c r="O5" s="35">
        <f>SUM(C5:N5)</f>
        <v>8784</v>
      </c>
    </row>
    <row r="6" spans="1:20" x14ac:dyDescent="0.2">
      <c r="C6" s="60" t="s">
        <v>50</v>
      </c>
      <c r="D6" s="60" t="s">
        <v>51</v>
      </c>
      <c r="E6" s="60" t="s">
        <v>52</v>
      </c>
      <c r="F6" s="60" t="s">
        <v>53</v>
      </c>
      <c r="G6" s="60" t="s">
        <v>54</v>
      </c>
      <c r="H6" s="60" t="s">
        <v>55</v>
      </c>
      <c r="I6" s="60" t="s">
        <v>56</v>
      </c>
      <c r="J6" s="60" t="s">
        <v>57</v>
      </c>
      <c r="K6" s="60" t="s">
        <v>58</v>
      </c>
      <c r="L6" s="60" t="s">
        <v>59</v>
      </c>
      <c r="M6" s="60" t="s">
        <v>60</v>
      </c>
      <c r="N6" s="60" t="s">
        <v>61</v>
      </c>
      <c r="O6" s="60" t="s">
        <v>126</v>
      </c>
      <c r="P6" s="60" t="s">
        <v>126</v>
      </c>
      <c r="R6" s="80" t="s">
        <v>129</v>
      </c>
      <c r="S6" s="80"/>
    </row>
    <row r="7" spans="1:20" x14ac:dyDescent="0.2">
      <c r="C7" s="60">
        <v>1</v>
      </c>
      <c r="D7" s="60">
        <v>2</v>
      </c>
      <c r="E7" s="60">
        <v>3</v>
      </c>
      <c r="F7" s="60">
        <v>4</v>
      </c>
      <c r="G7" s="60">
        <v>5</v>
      </c>
      <c r="H7" s="60">
        <v>6</v>
      </c>
      <c r="I7" s="60">
        <v>7</v>
      </c>
      <c r="J7" s="60">
        <v>8</v>
      </c>
      <c r="K7" s="60">
        <v>9</v>
      </c>
      <c r="L7" s="60">
        <v>10</v>
      </c>
      <c r="M7" s="60">
        <v>11</v>
      </c>
      <c r="N7" s="60">
        <v>12</v>
      </c>
    </row>
    <row r="8" spans="1:20" x14ac:dyDescent="0.2">
      <c r="C8" s="63" t="s">
        <v>120</v>
      </c>
      <c r="D8" s="63" t="s">
        <v>120</v>
      </c>
      <c r="E8" s="63" t="s">
        <v>120</v>
      </c>
      <c r="F8" s="63" t="s">
        <v>120</v>
      </c>
      <c r="G8" s="63" t="s">
        <v>120</v>
      </c>
      <c r="H8" s="63" t="s">
        <v>120</v>
      </c>
      <c r="I8" s="63" t="s">
        <v>120</v>
      </c>
      <c r="J8" s="63" t="s">
        <v>120</v>
      </c>
      <c r="K8" s="63" t="s">
        <v>120</v>
      </c>
      <c r="L8" s="63" t="s">
        <v>120</v>
      </c>
      <c r="M8" s="63" t="s">
        <v>120</v>
      </c>
      <c r="N8" s="63" t="s">
        <v>120</v>
      </c>
      <c r="O8" s="63" t="s">
        <v>120</v>
      </c>
      <c r="P8" s="63" t="s">
        <v>95</v>
      </c>
      <c r="R8" s="63" t="s">
        <v>120</v>
      </c>
      <c r="S8" s="63" t="s">
        <v>95</v>
      </c>
      <c r="T8" s="63" t="s">
        <v>132</v>
      </c>
    </row>
    <row r="9" spans="1:20" x14ac:dyDescent="0.2">
      <c r="B9" s="64" t="s">
        <v>122</v>
      </c>
    </row>
    <row r="10" spans="1:20" x14ac:dyDescent="0.2">
      <c r="B10" s="61" t="s">
        <v>44</v>
      </c>
      <c r="C10" s="68">
        <v>24.268415553595432</v>
      </c>
      <c r="D10" s="68">
        <v>26.877674322018681</v>
      </c>
      <c r="E10" s="68">
        <v>31.439888902889791</v>
      </c>
      <c r="F10" s="68">
        <v>32.859307183159721</v>
      </c>
      <c r="G10" s="68">
        <v>32.218526860719081</v>
      </c>
      <c r="H10" s="68">
        <v>31.877373589409721</v>
      </c>
      <c r="I10" s="68">
        <v>27.114483576948924</v>
      </c>
      <c r="J10" s="68">
        <v>12.220707062752016</v>
      </c>
      <c r="K10" s="68">
        <v>9.3478305392795136</v>
      </c>
      <c r="L10" s="68">
        <v>13.675823252688172</v>
      </c>
      <c r="M10" s="68">
        <v>16.232809787326389</v>
      </c>
      <c r="N10" s="68">
        <v>22.074013986895164</v>
      </c>
      <c r="O10" s="69">
        <f>SUMPRODUCT(C10:N10,$C$5:$N$5)/$O$5</f>
        <v>23.339726293456142</v>
      </c>
      <c r="P10" s="71">
        <f>O10*$O$5</f>
        <v>205016.15576171875</v>
      </c>
      <c r="Q10" s="71"/>
      <c r="R10" s="66">
        <f>S10/$O$5</f>
        <v>24.195469034608379</v>
      </c>
      <c r="S10" s="79">
        <f>'Monthly Load Generation Balance'!O15</f>
        <v>212533</v>
      </c>
      <c r="T10" s="66">
        <f>R10-O10</f>
        <v>0.85574274115223758</v>
      </c>
    </row>
    <row r="11" spans="1:20" x14ac:dyDescent="0.2">
      <c r="B11" s="61" t="s">
        <v>43</v>
      </c>
      <c r="C11" s="68">
        <v>57.502142137096769</v>
      </c>
      <c r="D11" s="68">
        <v>62.520406788793103</v>
      </c>
      <c r="E11" s="68">
        <v>74.843718497983872</v>
      </c>
      <c r="F11" s="68">
        <v>81.43899739583334</v>
      </c>
      <c r="G11" s="68">
        <v>81.363149991599457</v>
      </c>
      <c r="H11" s="68">
        <v>81.27972005208332</v>
      </c>
      <c r="I11" s="68">
        <v>77.273269489247312</v>
      </c>
      <c r="J11" s="68">
        <v>30.544948126680108</v>
      </c>
      <c r="K11" s="68">
        <v>22.467900933159719</v>
      </c>
      <c r="L11" s="68">
        <v>33.447522891465056</v>
      </c>
      <c r="M11" s="68">
        <v>39.302620442708331</v>
      </c>
      <c r="N11" s="68">
        <v>53.226473244287632</v>
      </c>
      <c r="O11" s="69">
        <f t="shared" ref="O11:O17" si="0">SUMPRODUCT(C11:N11,$C$5:$N$5)/$O$5</f>
        <v>57.928980648409038</v>
      </c>
      <c r="P11" s="71">
        <f t="shared" ref="P11:P17" si="1">O11*$O$5</f>
        <v>508848.166015625</v>
      </c>
      <c r="Q11" s="71"/>
      <c r="R11" s="66">
        <f>S11/$O$5</f>
        <v>57.225979052823313</v>
      </c>
      <c r="S11" s="79">
        <f>'Monthly Load Generation Balance'!O14</f>
        <v>502673</v>
      </c>
      <c r="T11" s="66">
        <f t="shared" ref="T11:T18" si="2">R11-O11</f>
        <v>-0.70300159558572517</v>
      </c>
    </row>
    <row r="12" spans="1:20" x14ac:dyDescent="0.2">
      <c r="B12" s="61" t="s">
        <v>41</v>
      </c>
      <c r="C12" s="68">
        <v>13.403255995883738</v>
      </c>
      <c r="D12" s="68">
        <v>13.418309705010776</v>
      </c>
      <c r="E12" s="68">
        <v>14.029865223874326</v>
      </c>
      <c r="F12" s="68">
        <v>14.194363064236111</v>
      </c>
      <c r="G12" s="68">
        <v>14.210623792422716</v>
      </c>
      <c r="H12" s="68">
        <v>13.608281792534722</v>
      </c>
      <c r="I12" s="68">
        <v>8.8191863029233879</v>
      </c>
      <c r="J12" s="68">
        <v>3.5635405509702549</v>
      </c>
      <c r="K12" s="68">
        <v>7.998891194661458</v>
      </c>
      <c r="L12" s="68">
        <v>10.235501197076612</v>
      </c>
      <c r="M12" s="68">
        <v>12.513613552517361</v>
      </c>
      <c r="N12" s="68">
        <v>12.865540207073252</v>
      </c>
      <c r="O12" s="69">
        <f t="shared" si="0"/>
        <v>11.556115794920096</v>
      </c>
      <c r="P12" s="71">
        <f t="shared" si="1"/>
        <v>101508.92114257813</v>
      </c>
      <c r="Q12" s="71"/>
      <c r="R12" s="66">
        <f>S12/$O$5</f>
        <v>9.4603825136612016</v>
      </c>
      <c r="S12" s="79">
        <f>'Monthly Load Generation Balance'!O12</f>
        <v>83100</v>
      </c>
      <c r="T12" s="66">
        <f t="shared" si="2"/>
        <v>-2.0957332812588945</v>
      </c>
    </row>
    <row r="13" spans="1:20" x14ac:dyDescent="0.2">
      <c r="B13" s="61" t="s">
        <v>113</v>
      </c>
      <c r="C13" s="68">
        <v>16.181249474966393</v>
      </c>
      <c r="D13" s="68">
        <v>20.682516163793107</v>
      </c>
      <c r="E13" s="68">
        <v>24.97341754872312</v>
      </c>
      <c r="F13" s="68">
        <v>24.229380967881944</v>
      </c>
      <c r="G13" s="68">
        <v>23.241872479838708</v>
      </c>
      <c r="H13" s="68">
        <v>20.212582736545137</v>
      </c>
      <c r="I13" s="68">
        <v>8.6235128423219081</v>
      </c>
      <c r="J13" s="68">
        <v>5.2739484233240868</v>
      </c>
      <c r="K13" s="68">
        <v>7.5756008572048605</v>
      </c>
      <c r="L13" s="68">
        <v>10.318108671454974</v>
      </c>
      <c r="M13" s="68">
        <v>13.506084526909722</v>
      </c>
      <c r="N13" s="68">
        <v>14.475879956317204</v>
      </c>
      <c r="O13" s="69">
        <f t="shared" si="0"/>
        <v>15.741065881725651</v>
      </c>
      <c r="P13" s="71">
        <f t="shared" si="1"/>
        <v>138269.52270507813</v>
      </c>
      <c r="Q13" s="71"/>
      <c r="R13" s="66">
        <f>S13/$O$5</f>
        <v>13.425204918032787</v>
      </c>
      <c r="S13" s="79">
        <f>'Monthly Load Generation Balance'!O13</f>
        <v>117927</v>
      </c>
      <c r="T13" s="66">
        <f t="shared" si="2"/>
        <v>-2.3158609636928649</v>
      </c>
    </row>
    <row r="14" spans="1:20" x14ac:dyDescent="0.2">
      <c r="B14" s="61" t="s">
        <v>38</v>
      </c>
      <c r="C14" s="68">
        <v>9.78484122983871</v>
      </c>
      <c r="D14" s="68">
        <v>11.986535784841955</v>
      </c>
      <c r="E14" s="68">
        <v>13.770835958501344</v>
      </c>
      <c r="F14" s="68">
        <v>13.562080891927083</v>
      </c>
      <c r="G14" s="68">
        <v>13.827515961021504</v>
      </c>
      <c r="H14" s="68">
        <v>13.634582519531248</v>
      </c>
      <c r="I14" s="68">
        <v>5.918183357484879</v>
      </c>
      <c r="J14" s="68">
        <v>1.716493668094758</v>
      </c>
      <c r="K14" s="68">
        <v>4.9311794704861098</v>
      </c>
      <c r="L14" s="68">
        <v>6.6896237609206981</v>
      </c>
      <c r="M14" s="68">
        <v>9.1441840277777775</v>
      </c>
      <c r="N14" s="68">
        <v>9.8066609700520839</v>
      </c>
      <c r="O14" s="69">
        <f t="shared" si="0"/>
        <v>9.542921167036658</v>
      </c>
      <c r="P14" s="71">
        <f t="shared" si="1"/>
        <v>83825.01953125</v>
      </c>
      <c r="Q14" s="71"/>
      <c r="R14" s="66">
        <f>S14/$O$5</f>
        <v>8.7668488160291442</v>
      </c>
      <c r="S14" s="79">
        <f>'Monthly Load Generation Balance'!O10</f>
        <v>77008</v>
      </c>
      <c r="T14" s="66">
        <f t="shared" si="2"/>
        <v>-0.77607235100751382</v>
      </c>
    </row>
    <row r="15" spans="1:20" x14ac:dyDescent="0.2">
      <c r="B15" s="61" t="s">
        <v>40</v>
      </c>
      <c r="C15" s="68">
        <v>8.6865411573840738</v>
      </c>
      <c r="D15" s="68">
        <v>8.3859126650053888</v>
      </c>
      <c r="E15" s="68">
        <v>8.6558772261424739</v>
      </c>
      <c r="F15" s="68">
        <v>8.2363030327690971</v>
      </c>
      <c r="G15" s="68">
        <v>8.111036075058804</v>
      </c>
      <c r="H15" s="68">
        <v>8.5655151367187496</v>
      </c>
      <c r="I15" s="68">
        <v>6.041139664188508</v>
      </c>
      <c r="J15" s="68">
        <v>1.4992108088667608</v>
      </c>
      <c r="K15" s="68">
        <v>5.4867312961154457</v>
      </c>
      <c r="L15" s="68">
        <v>7.793358587449597</v>
      </c>
      <c r="M15" s="68">
        <v>8.976715087890625</v>
      </c>
      <c r="N15" s="68">
        <v>8.9136306598622337</v>
      </c>
      <c r="O15" s="69">
        <f t="shared" si="0"/>
        <v>7.4368142716871573</v>
      </c>
      <c r="P15" s="71">
        <f t="shared" si="1"/>
        <v>65324.976562499993</v>
      </c>
      <c r="Q15" s="71"/>
      <c r="R15" s="66">
        <f>S15/$O$5</f>
        <v>6.6189663023679417</v>
      </c>
      <c r="S15" s="79">
        <f>'Monthly Load Generation Balance'!O11</f>
        <v>58141</v>
      </c>
      <c r="T15" s="66">
        <f t="shared" si="2"/>
        <v>-0.81784796931921555</v>
      </c>
    </row>
    <row r="16" spans="1:20" x14ac:dyDescent="0.2">
      <c r="B16" s="61" t="s">
        <v>37</v>
      </c>
      <c r="C16" s="68">
        <v>90.530241935483872</v>
      </c>
      <c r="D16" s="68">
        <v>77.27907799030173</v>
      </c>
      <c r="E16" s="68">
        <v>85.709855930779568</v>
      </c>
      <c r="F16" s="68">
        <v>163.01139322916666</v>
      </c>
      <c r="G16" s="68">
        <v>217.32839801747312</v>
      </c>
      <c r="H16" s="68">
        <v>221.54993489583336</v>
      </c>
      <c r="I16" s="68">
        <v>164.04305275537635</v>
      </c>
      <c r="J16" s="68">
        <v>81.84026902721773</v>
      </c>
      <c r="K16" s="68">
        <v>82.762017144097229</v>
      </c>
      <c r="L16" s="68">
        <v>77.792139196908607</v>
      </c>
      <c r="M16" s="68">
        <v>86.195052083333337</v>
      </c>
      <c r="N16" s="68">
        <v>111.43804603494624</v>
      </c>
      <c r="O16" s="69">
        <f t="shared" si="0"/>
        <v>121.68247888561589</v>
      </c>
      <c r="P16" s="71">
        <f t="shared" si="1"/>
        <v>1068858.89453125</v>
      </c>
      <c r="Q16" s="71"/>
      <c r="R16" s="66">
        <f>S16/$O$5</f>
        <v>114.15141165755919</v>
      </c>
      <c r="S16" s="79">
        <f>'Monthly Load Generation Balance'!O9</f>
        <v>1002706</v>
      </c>
      <c r="T16" s="66">
        <f t="shared" si="2"/>
        <v>-7.531067228056699</v>
      </c>
    </row>
    <row r="17" spans="2:20" x14ac:dyDescent="0.2">
      <c r="B17" s="61" t="s">
        <v>36</v>
      </c>
      <c r="C17" s="68">
        <v>125.3895486811156</v>
      </c>
      <c r="D17" s="68">
        <v>102.62201980064654</v>
      </c>
      <c r="E17" s="68">
        <v>115.96492513020833</v>
      </c>
      <c r="F17" s="68">
        <v>241.21962890624999</v>
      </c>
      <c r="G17" s="68">
        <v>420.1092699932795</v>
      </c>
      <c r="H17" s="68">
        <v>469.40473090277771</v>
      </c>
      <c r="I17" s="68">
        <v>245.90604523689518</v>
      </c>
      <c r="J17" s="68">
        <v>111.18342836441533</v>
      </c>
      <c r="K17" s="68">
        <v>119.30781521267362</v>
      </c>
      <c r="L17" s="68">
        <v>110.59882444976478</v>
      </c>
      <c r="M17" s="68">
        <v>120.77147623697915</v>
      </c>
      <c r="N17" s="68">
        <v>161.14318191364245</v>
      </c>
      <c r="O17" s="69">
        <f t="shared" si="0"/>
        <v>195.3450821006233</v>
      </c>
      <c r="P17" s="71">
        <f t="shared" si="1"/>
        <v>1715911.201171875</v>
      </c>
      <c r="Q17" s="71"/>
      <c r="R17" s="66">
        <f>S17/$O$5</f>
        <v>181.74089253187614</v>
      </c>
      <c r="S17" s="79">
        <f>'Monthly Load Generation Balance'!O8</f>
        <v>1596412</v>
      </c>
      <c r="T17" s="66">
        <f t="shared" si="2"/>
        <v>-13.604189568747159</v>
      </c>
    </row>
    <row r="18" spans="2:20" x14ac:dyDescent="0.2">
      <c r="B18" s="73" t="s">
        <v>130</v>
      </c>
      <c r="C18" s="74">
        <f>SUM(C10:C17)</f>
        <v>345.74623616536462</v>
      </c>
      <c r="D18" s="74">
        <f t="shared" ref="D18:N18" si="3">SUM(D10:D17)</f>
        <v>323.77245322041131</v>
      </c>
      <c r="E18" s="74">
        <f t="shared" si="3"/>
        <v>369.38838441910281</v>
      </c>
      <c r="F18" s="74">
        <f t="shared" si="3"/>
        <v>578.751454671224</v>
      </c>
      <c r="G18" s="74">
        <f t="shared" si="3"/>
        <v>810.41039317141281</v>
      </c>
      <c r="H18" s="74">
        <f t="shared" si="3"/>
        <v>860.13272162543399</v>
      </c>
      <c r="I18" s="74">
        <f t="shared" si="3"/>
        <v>543.73887322538644</v>
      </c>
      <c r="J18" s="74">
        <f t="shared" si="3"/>
        <v>247.84254603232105</v>
      </c>
      <c r="K18" s="74">
        <f t="shared" si="3"/>
        <v>259.87796664767797</v>
      </c>
      <c r="L18" s="74">
        <f t="shared" si="3"/>
        <v>270.5509020077285</v>
      </c>
      <c r="M18" s="74">
        <f t="shared" si="3"/>
        <v>306.64255574544268</v>
      </c>
      <c r="N18" s="74">
        <f t="shared" si="3"/>
        <v>393.94342697307627</v>
      </c>
      <c r="O18" s="74">
        <f>SUM(O10:O17)</f>
        <v>442.57318504347393</v>
      </c>
      <c r="P18" s="75">
        <f>SUM(P10:P17)</f>
        <v>3887562.857421875</v>
      </c>
      <c r="Q18" s="75"/>
      <c r="R18" s="76">
        <f>S18/$O$5</f>
        <v>415.5851548269581</v>
      </c>
      <c r="S18" s="75">
        <f>SUM(S10:S17)</f>
        <v>3650500</v>
      </c>
      <c r="T18" s="76">
        <f t="shared" si="2"/>
        <v>-26.988030216515824</v>
      </c>
    </row>
    <row r="19" spans="2:20" x14ac:dyDescent="0.2">
      <c r="C19" s="68"/>
      <c r="D19" s="68"/>
      <c r="E19" s="68"/>
      <c r="F19" s="68"/>
      <c r="G19" s="68"/>
      <c r="H19" s="68"/>
      <c r="I19" s="68"/>
      <c r="J19" s="68"/>
      <c r="K19" s="68"/>
      <c r="L19" s="68"/>
      <c r="M19" s="68"/>
      <c r="N19" s="68"/>
      <c r="O19" s="70"/>
      <c r="P19" s="71"/>
      <c r="Q19" s="71"/>
      <c r="S19" s="71"/>
      <c r="T19" s="66"/>
    </row>
    <row r="20" spans="2:20" x14ac:dyDescent="0.2">
      <c r="B20" s="65" t="s">
        <v>123</v>
      </c>
      <c r="C20" s="68"/>
      <c r="D20" s="68"/>
      <c r="E20" s="68"/>
      <c r="F20" s="68"/>
      <c r="G20" s="68"/>
      <c r="H20" s="68"/>
      <c r="I20" s="68"/>
      <c r="J20" s="68"/>
      <c r="K20" s="68"/>
      <c r="L20" s="68"/>
      <c r="M20" s="68"/>
      <c r="N20" s="68"/>
      <c r="O20" s="70"/>
      <c r="P20" s="71"/>
      <c r="Q20" s="71"/>
      <c r="S20" s="71"/>
      <c r="T20" s="66"/>
    </row>
    <row r="21" spans="2:20" x14ac:dyDescent="0.2">
      <c r="B21" s="35" t="s">
        <v>114</v>
      </c>
      <c r="C21" s="68">
        <f>C34*C41</f>
        <v>21.617212500000001</v>
      </c>
      <c r="D21" s="68">
        <f t="shared" ref="D21:N21" si="4">D34*D41</f>
        <v>19.649255000000004</v>
      </c>
      <c r="E21" s="68">
        <f t="shared" si="4"/>
        <v>18.430770000000003</v>
      </c>
      <c r="F21" s="68">
        <f t="shared" si="4"/>
        <v>20.266077500000002</v>
      </c>
      <c r="G21" s="68">
        <f t="shared" si="4"/>
        <v>23.658127500000003</v>
      </c>
      <c r="H21" s="68">
        <f t="shared" si="4"/>
        <v>23.2715475</v>
      </c>
      <c r="I21" s="68">
        <f t="shared" si="4"/>
        <v>21.071926250000001</v>
      </c>
      <c r="J21" s="68">
        <f t="shared" si="4"/>
        <v>17.508141875000003</v>
      </c>
      <c r="K21" s="68">
        <f t="shared" si="4"/>
        <v>14.46406125</v>
      </c>
      <c r="L21" s="68">
        <f t="shared" si="4"/>
        <v>14.257032500000001</v>
      </c>
      <c r="M21" s="68">
        <f t="shared" si="4"/>
        <v>18.719283750000002</v>
      </c>
      <c r="N21" s="68">
        <f t="shared" si="4"/>
        <v>20.570698750000002</v>
      </c>
      <c r="O21" s="69">
        <f>SUMPRODUCT(C21:N21,$C$5:$N$5)/$O$5</f>
        <v>19.45898547984973</v>
      </c>
      <c r="P21" s="71">
        <f>O21*$O$5</f>
        <v>170927.72845500003</v>
      </c>
      <c r="Q21" s="71"/>
      <c r="S21" s="71"/>
      <c r="T21" s="66"/>
    </row>
    <row r="22" spans="2:20" x14ac:dyDescent="0.2">
      <c r="B22" s="35" t="s">
        <v>116</v>
      </c>
      <c r="C22" s="68">
        <f t="shared" ref="C22:N22" si="5">C35*C42</f>
        <v>37.100625000000001</v>
      </c>
      <c r="D22" s="68">
        <f t="shared" si="5"/>
        <v>33.320687499999998</v>
      </c>
      <c r="E22" s="68">
        <f t="shared" si="5"/>
        <v>31.388125000000002</v>
      </c>
      <c r="F22" s="68">
        <f t="shared" si="5"/>
        <v>39.290937500000005</v>
      </c>
      <c r="G22" s="68">
        <f t="shared" si="5"/>
        <v>50.502812500000005</v>
      </c>
      <c r="H22" s="68">
        <f t="shared" si="5"/>
        <v>48.411437499999998</v>
      </c>
      <c r="I22" s="68">
        <f t="shared" si="5"/>
        <v>41.106999999999992</v>
      </c>
      <c r="J22" s="68">
        <f t="shared" si="5"/>
        <v>36.022500000000001</v>
      </c>
      <c r="K22" s="68">
        <f t="shared" si="5"/>
        <v>24.421250000000001</v>
      </c>
      <c r="L22" s="68">
        <f t="shared" si="5"/>
        <v>24.040000000000003</v>
      </c>
      <c r="M22" s="68">
        <f t="shared" si="5"/>
        <v>31.065625000000001</v>
      </c>
      <c r="N22" s="68">
        <f t="shared" si="5"/>
        <v>33.863750000000003</v>
      </c>
      <c r="O22" s="69">
        <f>SUMPRODUCT(C22:N22,$C$5:$N$5)/$O$5</f>
        <v>35.892750341530054</v>
      </c>
      <c r="P22" s="71">
        <f>O22*$O$5</f>
        <v>315281.91899999999</v>
      </c>
      <c r="Q22" s="71"/>
      <c r="S22" s="71"/>
      <c r="T22" s="66"/>
    </row>
    <row r="23" spans="2:20" x14ac:dyDescent="0.2">
      <c r="B23" s="35" t="s">
        <v>117</v>
      </c>
      <c r="C23" s="68">
        <f t="shared" ref="C23:N23" si="6">C36*C43</f>
        <v>20.418482875000024</v>
      </c>
      <c r="D23" s="68">
        <f t="shared" si="6"/>
        <v>18.308874125000013</v>
      </c>
      <c r="E23" s="68">
        <f t="shared" si="6"/>
        <v>17.219580750000013</v>
      </c>
      <c r="F23" s="68">
        <f t="shared" si="6"/>
        <v>20.170190500000032</v>
      </c>
      <c r="G23" s="68">
        <f t="shared" si="6"/>
        <v>23.832751750000028</v>
      </c>
      <c r="H23" s="68">
        <f t="shared" si="6"/>
        <v>23.700907125000029</v>
      </c>
      <c r="I23" s="68">
        <f t="shared" si="6"/>
        <v>21.400708750000028</v>
      </c>
      <c r="J23" s="68">
        <f t="shared" si="6"/>
        <v>18.520261375000029</v>
      </c>
      <c r="K23" s="68">
        <f t="shared" si="6"/>
        <v>12.65490475</v>
      </c>
      <c r="L23" s="68">
        <f t="shared" si="6"/>
        <v>12.245821624999989</v>
      </c>
      <c r="M23" s="68">
        <f t="shared" si="6"/>
        <v>17.016815750000013</v>
      </c>
      <c r="N23" s="68">
        <f t="shared" si="6"/>
        <v>19.021346750000024</v>
      </c>
      <c r="O23" s="69">
        <f>SUMPRODUCT(C23:N23,$C$5:$N$5)/$O$5</f>
        <v>18.714943889344283</v>
      </c>
      <c r="P23" s="71">
        <f>O23*$O$5</f>
        <v>164392.0671240002</v>
      </c>
      <c r="Q23" s="71"/>
      <c r="S23" s="71"/>
      <c r="T23" s="66"/>
    </row>
    <row r="24" spans="2:20" x14ac:dyDescent="0.2">
      <c r="B24" s="35" t="s">
        <v>119</v>
      </c>
      <c r="C24" s="68">
        <f t="shared" ref="C24:N24" si="7">C37*C44</f>
        <v>56.588858100000024</v>
      </c>
      <c r="D24" s="68">
        <f t="shared" si="7"/>
        <v>50.75868569999998</v>
      </c>
      <c r="E24" s="68">
        <f t="shared" si="7"/>
        <v>50.124700799999978</v>
      </c>
      <c r="F24" s="68">
        <f t="shared" si="7"/>
        <v>62.22386070000001</v>
      </c>
      <c r="G24" s="68">
        <f t="shared" si="7"/>
        <v>77.596415849999985</v>
      </c>
      <c r="H24" s="68">
        <f t="shared" si="7"/>
        <v>77.091327149999969</v>
      </c>
      <c r="I24" s="68">
        <f t="shared" si="7"/>
        <v>68.873387240000014</v>
      </c>
      <c r="J24" s="68">
        <f t="shared" si="7"/>
        <v>60.348123200000011</v>
      </c>
      <c r="K24" s="68">
        <f t="shared" si="7"/>
        <v>39.631291199999971</v>
      </c>
      <c r="L24" s="68">
        <f t="shared" si="7"/>
        <v>38.271824999999957</v>
      </c>
      <c r="M24" s="68">
        <f t="shared" si="7"/>
        <v>50.418609299999986</v>
      </c>
      <c r="N24" s="68">
        <f t="shared" si="7"/>
        <v>52.303750800000024</v>
      </c>
      <c r="O24" s="69">
        <f>SUMPRODUCT(C24:N24,$C$5:$N$5)/$O$5</f>
        <v>57.049927394781413</v>
      </c>
      <c r="P24" s="71">
        <f>O24*$O$5</f>
        <v>501126.56223575992</v>
      </c>
      <c r="Q24" s="71"/>
      <c r="S24" s="71"/>
      <c r="T24" s="66"/>
    </row>
    <row r="25" spans="2:20" x14ac:dyDescent="0.2">
      <c r="B25" s="35" t="s">
        <v>115</v>
      </c>
      <c r="C25" s="68">
        <f t="shared" ref="C25:N25" si="8">C38*C45</f>
        <v>19.572687499999983</v>
      </c>
      <c r="D25" s="68">
        <f t="shared" si="8"/>
        <v>17.977624999999996</v>
      </c>
      <c r="E25" s="68">
        <f t="shared" si="8"/>
        <v>17.166624999999993</v>
      </c>
      <c r="F25" s="68">
        <f t="shared" si="8"/>
        <v>19.90931249999997</v>
      </c>
      <c r="G25" s="68">
        <f t="shared" si="8"/>
        <v>23.65931249999997</v>
      </c>
      <c r="H25" s="68">
        <f t="shared" si="8"/>
        <v>22.20337499999998</v>
      </c>
      <c r="I25" s="68">
        <f t="shared" si="8"/>
        <v>19.27112499999998</v>
      </c>
      <c r="J25" s="68">
        <f t="shared" si="8"/>
        <v>17.807249999999978</v>
      </c>
      <c r="K25" s="68">
        <f t="shared" si="8"/>
        <v>13.70675</v>
      </c>
      <c r="L25" s="68">
        <f t="shared" si="8"/>
        <v>13.790187500000009</v>
      </c>
      <c r="M25" s="68">
        <f t="shared" si="8"/>
        <v>17.002249999999986</v>
      </c>
      <c r="N25" s="68">
        <f t="shared" si="8"/>
        <v>18.22649999999998</v>
      </c>
      <c r="O25" s="69">
        <f>SUMPRODUCT(C25:N25,$C$5:$N$5)/$O$5</f>
        <v>18.361491974043702</v>
      </c>
      <c r="P25" s="71">
        <f>O25*$O$5</f>
        <v>161287.34549999988</v>
      </c>
      <c r="Q25" s="71"/>
      <c r="S25" s="71"/>
      <c r="T25" s="66"/>
    </row>
    <row r="26" spans="2:20" x14ac:dyDescent="0.2">
      <c r="B26" s="62" t="s">
        <v>118</v>
      </c>
      <c r="C26" s="68">
        <v>-13.480722499999999</v>
      </c>
      <c r="D26" s="68">
        <v>-13.480722499999999</v>
      </c>
      <c r="E26" s="68">
        <v>-13.757082499999999</v>
      </c>
      <c r="F26" s="68">
        <v>-13.796223000000001</v>
      </c>
      <c r="G26" s="68">
        <v>-13.796223000000001</v>
      </c>
      <c r="H26" s="68">
        <v>-13.796223000000001</v>
      </c>
      <c r="I26" s="68">
        <v>-13.796223000000001</v>
      </c>
      <c r="J26" s="68">
        <v>-13.796223000000001</v>
      </c>
      <c r="K26" s="68">
        <v>-13.613551000000001</v>
      </c>
      <c r="L26" s="68">
        <v>-13.613551000000001</v>
      </c>
      <c r="M26" s="68">
        <v>-13.613551000000001</v>
      </c>
      <c r="N26" s="68">
        <v>-13.339543000000001</v>
      </c>
      <c r="O26" s="69">
        <f>SUMPRODUCT(C26:N26,$C$5:$N$5)/$O$5</f>
        <v>-13.657087433060109</v>
      </c>
      <c r="P26" s="71">
        <f>O26*$O$5</f>
        <v>-119963.856012</v>
      </c>
      <c r="Q26" s="71"/>
      <c r="S26" s="71"/>
      <c r="T26" s="66"/>
    </row>
    <row r="27" spans="2:20" x14ac:dyDescent="0.2">
      <c r="B27" s="78" t="s">
        <v>131</v>
      </c>
      <c r="C27" s="74">
        <f>SUM(C21:C26)</f>
        <v>141.81714347500002</v>
      </c>
      <c r="D27" s="74">
        <f t="shared" ref="D27:O27" si="9">SUM(D21:D26)</f>
        <v>126.53440482499998</v>
      </c>
      <c r="E27" s="74">
        <f t="shared" si="9"/>
        <v>120.57271904999999</v>
      </c>
      <c r="F27" s="74">
        <f t="shared" si="9"/>
        <v>148.06415570000001</v>
      </c>
      <c r="G27" s="74">
        <f t="shared" si="9"/>
        <v>185.45319709999998</v>
      </c>
      <c r="H27" s="74">
        <f t="shared" si="9"/>
        <v>180.88237127499997</v>
      </c>
      <c r="I27" s="74">
        <f t="shared" si="9"/>
        <v>157.92792424000004</v>
      </c>
      <c r="J27" s="74">
        <f t="shared" si="9"/>
        <v>136.41005345000002</v>
      </c>
      <c r="K27" s="74">
        <f t="shared" si="9"/>
        <v>91.264706199999978</v>
      </c>
      <c r="L27" s="74">
        <f t="shared" si="9"/>
        <v>88.991315624999942</v>
      </c>
      <c r="M27" s="74">
        <f t="shared" si="9"/>
        <v>120.60903279999997</v>
      </c>
      <c r="N27" s="74">
        <f t="shared" si="9"/>
        <v>130.64650330000003</v>
      </c>
      <c r="O27" s="74">
        <f t="shared" si="9"/>
        <v>135.82101164648907</v>
      </c>
      <c r="P27" s="77">
        <f>SUM(P21:P26)</f>
        <v>1193051.76630276</v>
      </c>
      <c r="Q27" s="71"/>
      <c r="R27" s="66">
        <f>S27/$O$5</f>
        <v>143.51923952641167</v>
      </c>
      <c r="S27" s="72">
        <f>'Monthly Load Generation Balance'!O16</f>
        <v>1260673</v>
      </c>
      <c r="T27" s="66">
        <f t="shared" ref="T27:T29" si="10">R27-O27</f>
        <v>7.698227879922598</v>
      </c>
    </row>
    <row r="28" spans="2:20" x14ac:dyDescent="0.2">
      <c r="C28" s="68"/>
      <c r="D28" s="68"/>
      <c r="E28" s="68"/>
      <c r="F28" s="68"/>
      <c r="G28" s="68"/>
      <c r="H28" s="68"/>
      <c r="I28" s="68"/>
      <c r="J28" s="68"/>
      <c r="K28" s="68"/>
      <c r="L28" s="68"/>
      <c r="M28" s="68"/>
      <c r="N28" s="68"/>
      <c r="O28" s="69"/>
      <c r="P28" s="71"/>
      <c r="Q28" s="71"/>
      <c r="S28" s="71"/>
      <c r="T28" s="66"/>
    </row>
    <row r="29" spans="2:20" x14ac:dyDescent="0.2">
      <c r="B29" s="53" t="s">
        <v>127</v>
      </c>
      <c r="C29" s="74">
        <f>C18+C27</f>
        <v>487.56337964036464</v>
      </c>
      <c r="D29" s="74">
        <f t="shared" ref="D29:S29" si="11">D18+D27</f>
        <v>450.30685804541127</v>
      </c>
      <c r="E29" s="74">
        <f t="shared" si="11"/>
        <v>489.9611034691028</v>
      </c>
      <c r="F29" s="74">
        <f t="shared" si="11"/>
        <v>726.81561037122401</v>
      </c>
      <c r="G29" s="74">
        <f t="shared" si="11"/>
        <v>995.86359027141282</v>
      </c>
      <c r="H29" s="74">
        <f t="shared" si="11"/>
        <v>1041.015092900434</v>
      </c>
      <c r="I29" s="74">
        <f t="shared" si="11"/>
        <v>701.66679746538648</v>
      </c>
      <c r="J29" s="74">
        <f t="shared" si="11"/>
        <v>384.2525994823211</v>
      </c>
      <c r="K29" s="74">
        <f t="shared" si="11"/>
        <v>351.14267284767794</v>
      </c>
      <c r="L29" s="74">
        <f t="shared" si="11"/>
        <v>359.54221763272847</v>
      </c>
      <c r="M29" s="74">
        <f t="shared" si="11"/>
        <v>427.25158854544264</v>
      </c>
      <c r="N29" s="74">
        <f t="shared" si="11"/>
        <v>524.58993027307633</v>
      </c>
      <c r="O29" s="74">
        <f t="shared" si="11"/>
        <v>578.394196689963</v>
      </c>
      <c r="P29" s="77">
        <f>P18+P27</f>
        <v>5080614.6237246348</v>
      </c>
      <c r="Q29" s="75"/>
      <c r="R29" s="76">
        <f>S29/$O$5</f>
        <v>559.1043943533698</v>
      </c>
      <c r="S29" s="77">
        <f t="shared" si="11"/>
        <v>4911173</v>
      </c>
      <c r="T29" s="76">
        <f t="shared" si="10"/>
        <v>-19.289802336593198</v>
      </c>
    </row>
    <row r="30" spans="2:20" x14ac:dyDescent="0.2">
      <c r="C30" s="68"/>
      <c r="D30" s="68"/>
      <c r="E30" s="68"/>
      <c r="F30" s="68"/>
      <c r="G30" s="68"/>
      <c r="H30" s="68"/>
      <c r="I30" s="68"/>
      <c r="J30" s="68"/>
      <c r="K30" s="68"/>
      <c r="L30" s="68"/>
      <c r="M30" s="68"/>
      <c r="N30" s="68"/>
      <c r="O30" s="69"/>
      <c r="P30" s="71"/>
      <c r="Q30" s="71"/>
      <c r="S30" s="71"/>
    </row>
    <row r="31" spans="2:20" x14ac:dyDescent="0.2">
      <c r="C31" s="68"/>
      <c r="D31" s="68"/>
      <c r="E31" s="68"/>
      <c r="F31" s="68"/>
      <c r="G31" s="68"/>
      <c r="H31" s="68"/>
      <c r="I31" s="68"/>
      <c r="J31" s="68"/>
      <c r="K31" s="68"/>
      <c r="L31" s="68"/>
      <c r="M31" s="68"/>
      <c r="N31" s="68"/>
      <c r="O31" s="69"/>
      <c r="P31" s="71"/>
      <c r="Q31" s="71"/>
      <c r="S31" s="71"/>
    </row>
    <row r="32" spans="2:20" x14ac:dyDescent="0.2">
      <c r="C32" s="68"/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68"/>
      <c r="O32" s="69"/>
      <c r="P32" s="71"/>
      <c r="Q32" s="71"/>
      <c r="S32" s="71"/>
    </row>
    <row r="33" spans="2:19" x14ac:dyDescent="0.2">
      <c r="B33" s="53" t="s">
        <v>124</v>
      </c>
      <c r="C33" s="68"/>
      <c r="D33" s="68"/>
      <c r="E33" s="68"/>
      <c r="F33" s="68"/>
      <c r="G33" s="68"/>
      <c r="H33" s="68"/>
      <c r="I33" s="68"/>
      <c r="J33" s="68"/>
      <c r="K33" s="68"/>
      <c r="L33" s="68"/>
      <c r="M33" s="68"/>
      <c r="N33" s="68"/>
      <c r="O33" s="70"/>
      <c r="P33" s="71"/>
      <c r="Q33" s="71"/>
      <c r="S33" s="71"/>
    </row>
    <row r="34" spans="2:19" x14ac:dyDescent="0.2">
      <c r="B34" s="35" t="s">
        <v>114</v>
      </c>
      <c r="C34" s="68">
        <v>570.375</v>
      </c>
      <c r="D34" s="68">
        <v>518.45000000000005</v>
      </c>
      <c r="E34" s="68">
        <v>486.3</v>
      </c>
      <c r="F34" s="68">
        <v>534.72500000000002</v>
      </c>
      <c r="G34" s="68">
        <v>624.22500000000002</v>
      </c>
      <c r="H34" s="68">
        <v>614.02499999999998</v>
      </c>
      <c r="I34" s="68">
        <v>555.98749999999995</v>
      </c>
      <c r="J34" s="68">
        <v>461.95625000000001</v>
      </c>
      <c r="K34" s="68">
        <v>381.63749999999999</v>
      </c>
      <c r="L34" s="68">
        <v>376.17500000000001</v>
      </c>
      <c r="M34" s="68">
        <v>493.91250000000002</v>
      </c>
      <c r="N34" s="68">
        <v>542.76250000000005</v>
      </c>
      <c r="O34" s="69">
        <f>SUMPRODUCT(C34:N34,$C$5:$N$5)/$O$5</f>
        <v>513.42969603825134</v>
      </c>
      <c r="P34" s="71">
        <f>O34*$O$5</f>
        <v>4509966.45</v>
      </c>
      <c r="Q34" s="71"/>
      <c r="S34" s="71"/>
    </row>
    <row r="35" spans="2:19" x14ac:dyDescent="0.2">
      <c r="B35" s="35" t="s">
        <v>116</v>
      </c>
      <c r="C35" s="68">
        <v>742.01250000000005</v>
      </c>
      <c r="D35" s="68">
        <v>666.41374999999994</v>
      </c>
      <c r="E35" s="68">
        <v>627.76250000000005</v>
      </c>
      <c r="F35" s="68">
        <v>785.81875000000002</v>
      </c>
      <c r="G35" s="68">
        <v>1010.05625</v>
      </c>
      <c r="H35" s="68">
        <v>968.22874999999988</v>
      </c>
      <c r="I35" s="68">
        <v>822.13999999999976</v>
      </c>
      <c r="J35" s="68">
        <v>720.45</v>
      </c>
      <c r="K35" s="68">
        <v>488.42500000000001</v>
      </c>
      <c r="L35" s="68">
        <v>480.8</v>
      </c>
      <c r="M35" s="68">
        <v>621.3125</v>
      </c>
      <c r="N35" s="68">
        <v>677.27499999999998</v>
      </c>
      <c r="O35" s="69">
        <f t="shared" ref="O35:O38" si="12">SUMPRODUCT(C35:N35,$C$5:$N$5)/$O$5</f>
        <v>717.85500683060104</v>
      </c>
      <c r="P35" s="71">
        <f t="shared" ref="P35:P38" si="13">O35*$O$5</f>
        <v>6305638.3799999999</v>
      </c>
      <c r="Q35" s="71"/>
      <c r="S35" s="71"/>
    </row>
    <row r="36" spans="2:19" x14ac:dyDescent="0.2">
      <c r="B36" s="35" t="s">
        <v>117</v>
      </c>
      <c r="C36" s="68">
        <v>538.7462500000006</v>
      </c>
      <c r="D36" s="68">
        <v>483.08375000000035</v>
      </c>
      <c r="E36" s="68">
        <v>454.34250000000031</v>
      </c>
      <c r="F36" s="68">
        <v>532.19500000000085</v>
      </c>
      <c r="G36" s="68">
        <v>628.83250000000066</v>
      </c>
      <c r="H36" s="68">
        <v>625.35375000000067</v>
      </c>
      <c r="I36" s="68">
        <v>564.6625000000007</v>
      </c>
      <c r="J36" s="68">
        <v>488.66125000000068</v>
      </c>
      <c r="K36" s="68">
        <v>333.90249999999997</v>
      </c>
      <c r="L36" s="68">
        <v>323.1087499999997</v>
      </c>
      <c r="M36" s="68">
        <v>448.99250000000029</v>
      </c>
      <c r="N36" s="68">
        <v>501.88250000000062</v>
      </c>
      <c r="O36" s="69">
        <f t="shared" si="12"/>
        <v>493.79799180327905</v>
      </c>
      <c r="P36" s="71">
        <f t="shared" si="13"/>
        <v>4337521.5600000033</v>
      </c>
      <c r="Q36" s="71"/>
      <c r="S36" s="71"/>
    </row>
    <row r="37" spans="2:19" x14ac:dyDescent="0.2">
      <c r="B37" s="35" t="s">
        <v>119</v>
      </c>
      <c r="C37" s="68">
        <v>468.76125000000019</v>
      </c>
      <c r="D37" s="68">
        <v>420.46624999999983</v>
      </c>
      <c r="E37" s="68">
        <v>393.31999999999982</v>
      </c>
      <c r="F37" s="68">
        <v>471.67875000000004</v>
      </c>
      <c r="G37" s="68">
        <v>588.20812499999988</v>
      </c>
      <c r="H37" s="68">
        <v>584.37937499999975</v>
      </c>
      <c r="I37" s="68">
        <v>522.08450000000005</v>
      </c>
      <c r="J37" s="68">
        <v>457.46000000000004</v>
      </c>
      <c r="K37" s="68">
        <v>310.97999999999979</v>
      </c>
      <c r="L37" s="68">
        <v>300.31249999999966</v>
      </c>
      <c r="M37" s="68">
        <v>395.62624999999991</v>
      </c>
      <c r="N37" s="68">
        <v>433.26500000000016</v>
      </c>
      <c r="O37" s="69">
        <f t="shared" si="12"/>
        <v>445.73553312841523</v>
      </c>
      <c r="P37" s="71">
        <f t="shared" si="13"/>
        <v>3915340.9229999995</v>
      </c>
      <c r="Q37" s="71"/>
      <c r="S37" s="71"/>
    </row>
    <row r="38" spans="2:19" x14ac:dyDescent="0.2">
      <c r="B38" s="35" t="s">
        <v>115</v>
      </c>
      <c r="C38" s="68">
        <v>391.45374999999962</v>
      </c>
      <c r="D38" s="68">
        <v>359.5524999999999</v>
      </c>
      <c r="E38" s="68">
        <v>343.33249999999981</v>
      </c>
      <c r="F38" s="68">
        <v>398.1862499999994</v>
      </c>
      <c r="G38" s="68">
        <v>473.1862499999994</v>
      </c>
      <c r="H38" s="68">
        <v>444.06749999999954</v>
      </c>
      <c r="I38" s="68">
        <v>385.42249999999956</v>
      </c>
      <c r="J38" s="68">
        <v>356.14499999999958</v>
      </c>
      <c r="K38" s="68">
        <v>274.13499999999999</v>
      </c>
      <c r="L38" s="68">
        <v>275.80375000000015</v>
      </c>
      <c r="M38" s="68">
        <v>340.04499999999967</v>
      </c>
      <c r="N38" s="68">
        <v>364.52999999999957</v>
      </c>
      <c r="O38" s="69">
        <f t="shared" si="12"/>
        <v>367.22983948087409</v>
      </c>
      <c r="P38" s="71">
        <f t="shared" si="13"/>
        <v>3225746.9099999978</v>
      </c>
      <c r="Q38" s="71"/>
      <c r="S38" s="71"/>
    </row>
    <row r="40" spans="2:19" x14ac:dyDescent="0.2">
      <c r="B40" s="53" t="s">
        <v>125</v>
      </c>
    </row>
    <row r="41" spans="2:19" x14ac:dyDescent="0.2">
      <c r="B41" s="35" t="s">
        <v>114</v>
      </c>
      <c r="C41" s="67">
        <v>3.7900000000000003E-2</v>
      </c>
      <c r="D41" s="67">
        <v>3.7900000000000003E-2</v>
      </c>
      <c r="E41" s="67">
        <v>3.7900000000000003E-2</v>
      </c>
      <c r="F41" s="67">
        <v>3.7900000000000003E-2</v>
      </c>
      <c r="G41" s="67">
        <v>3.7900000000000003E-2</v>
      </c>
      <c r="H41" s="67">
        <v>3.7900000000000003E-2</v>
      </c>
      <c r="I41" s="67">
        <v>3.7900000000000003E-2</v>
      </c>
      <c r="J41" s="67">
        <v>3.7900000000000003E-2</v>
      </c>
      <c r="K41" s="67">
        <v>3.7900000000000003E-2</v>
      </c>
      <c r="L41" s="67">
        <v>3.7900000000000003E-2</v>
      </c>
      <c r="M41" s="67">
        <v>3.7900000000000003E-2</v>
      </c>
      <c r="N41" s="67">
        <v>3.7900000000000003E-2</v>
      </c>
    </row>
    <row r="42" spans="2:19" x14ac:dyDescent="0.2">
      <c r="B42" s="35" t="s">
        <v>116</v>
      </c>
      <c r="C42" s="67">
        <v>0.05</v>
      </c>
      <c r="D42" s="67">
        <v>0.05</v>
      </c>
      <c r="E42" s="67">
        <v>0.05</v>
      </c>
      <c r="F42" s="67">
        <v>0.05</v>
      </c>
      <c r="G42" s="67">
        <v>0.05</v>
      </c>
      <c r="H42" s="67">
        <v>0.05</v>
      </c>
      <c r="I42" s="67">
        <v>0.05</v>
      </c>
      <c r="J42" s="67">
        <v>0.05</v>
      </c>
      <c r="K42" s="67">
        <v>0.05</v>
      </c>
      <c r="L42" s="67">
        <v>0.05</v>
      </c>
      <c r="M42" s="67">
        <v>0.05</v>
      </c>
      <c r="N42" s="67">
        <v>0.05</v>
      </c>
    </row>
    <row r="43" spans="2:19" x14ac:dyDescent="0.2">
      <c r="B43" s="35" t="s">
        <v>117</v>
      </c>
      <c r="C43" s="67">
        <v>3.7900000000000003E-2</v>
      </c>
      <c r="D43" s="67">
        <v>3.7900000000000003E-2</v>
      </c>
      <c r="E43" s="67">
        <v>3.7900000000000003E-2</v>
      </c>
      <c r="F43" s="67">
        <v>3.7900000000000003E-2</v>
      </c>
      <c r="G43" s="67">
        <v>3.7900000000000003E-2</v>
      </c>
      <c r="H43" s="67">
        <v>3.7900000000000003E-2</v>
      </c>
      <c r="I43" s="67">
        <v>3.7900000000000003E-2</v>
      </c>
      <c r="J43" s="67">
        <v>3.7900000000000003E-2</v>
      </c>
      <c r="K43" s="67">
        <v>3.7900000000000003E-2</v>
      </c>
      <c r="L43" s="67">
        <v>3.7900000000000003E-2</v>
      </c>
      <c r="M43" s="67">
        <v>3.7900000000000003E-2</v>
      </c>
      <c r="N43" s="67">
        <v>3.7900000000000003E-2</v>
      </c>
    </row>
    <row r="44" spans="2:19" x14ac:dyDescent="0.2">
      <c r="B44" s="35" t="s">
        <v>119</v>
      </c>
      <c r="C44" s="67">
        <v>0.12072000000000001</v>
      </c>
      <c r="D44" s="67">
        <v>0.12072000000000001</v>
      </c>
      <c r="E44" s="67">
        <v>0.12744</v>
      </c>
      <c r="F44" s="67">
        <v>0.13192000000000001</v>
      </c>
      <c r="G44" s="67">
        <v>0.13192000000000001</v>
      </c>
      <c r="H44" s="67">
        <v>0.13192000000000001</v>
      </c>
      <c r="I44" s="67">
        <v>0.13192000000000001</v>
      </c>
      <c r="J44" s="67">
        <v>0.13192000000000001</v>
      </c>
      <c r="K44" s="67">
        <v>0.12744</v>
      </c>
      <c r="L44" s="67">
        <v>0.12744</v>
      </c>
      <c r="M44" s="67">
        <v>0.12744</v>
      </c>
      <c r="N44" s="67">
        <v>0.12072000000000001</v>
      </c>
    </row>
    <row r="45" spans="2:19" x14ac:dyDescent="0.2">
      <c r="B45" s="35" t="s">
        <v>115</v>
      </c>
      <c r="C45" s="67">
        <v>0.05</v>
      </c>
      <c r="D45" s="67">
        <v>0.05</v>
      </c>
      <c r="E45" s="67">
        <v>0.05</v>
      </c>
      <c r="F45" s="67">
        <v>0.05</v>
      </c>
      <c r="G45" s="67">
        <v>0.05</v>
      </c>
      <c r="H45" s="67">
        <v>0.05</v>
      </c>
      <c r="I45" s="67">
        <v>0.05</v>
      </c>
      <c r="J45" s="67">
        <v>0.05</v>
      </c>
      <c r="K45" s="67">
        <v>0.05</v>
      </c>
      <c r="L45" s="67">
        <v>0.05</v>
      </c>
      <c r="M45" s="67">
        <v>0.05</v>
      </c>
      <c r="N45" s="67">
        <v>0.05</v>
      </c>
    </row>
  </sheetData>
  <mergeCells count="1">
    <mergeCell ref="R6:S6"/>
  </mergeCells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3C4D16-20C7-40FE-A471-A5B29EAE03C0}">
  <dimension ref="B1:H26"/>
  <sheetViews>
    <sheetView workbookViewId="0">
      <selection activeCell="J27" sqref="J27"/>
    </sheetView>
  </sheetViews>
  <sheetFormatPr defaultRowHeight="12.75" x14ac:dyDescent="0.2"/>
  <cols>
    <col min="2" max="2" width="33.140625" bestFit="1" customWidth="1"/>
    <col min="3" max="3" width="16.7109375" customWidth="1"/>
    <col min="4" max="4" width="18.140625" customWidth="1"/>
    <col min="5" max="5" width="16.7109375" customWidth="1"/>
  </cols>
  <sheetData>
    <row r="1" spans="2:8" ht="18" x14ac:dyDescent="0.25">
      <c r="B1" s="34" t="s">
        <v>106</v>
      </c>
    </row>
    <row r="3" spans="2:8" ht="72.75" customHeight="1" x14ac:dyDescent="0.2">
      <c r="B3" s="39" t="s">
        <v>27</v>
      </c>
      <c r="C3" s="10" t="s">
        <v>90</v>
      </c>
      <c r="D3" s="10" t="s">
        <v>112</v>
      </c>
      <c r="E3" s="10" t="s">
        <v>101</v>
      </c>
    </row>
    <row r="4" spans="2:8" x14ac:dyDescent="0.2">
      <c r="B4" s="11" t="s">
        <v>20</v>
      </c>
      <c r="C4" s="18">
        <f>Assumptions!B9</f>
        <v>5461691</v>
      </c>
      <c r="D4" s="18">
        <f>E4</f>
        <v>5461691</v>
      </c>
      <c r="E4" s="18">
        <f>Assumptions!B9</f>
        <v>5461691</v>
      </c>
    </row>
    <row r="5" spans="2:8" x14ac:dyDescent="0.2">
      <c r="B5" s="17" t="s">
        <v>6</v>
      </c>
      <c r="C5" s="18">
        <f>-('Monthly Load Generation Balance'!$AD$20+'Monthly Load Generation Balance'!$AD$21+'Small PURPA'!$D$14)</f>
        <v>-195350</v>
      </c>
      <c r="D5" s="18">
        <f>C5</f>
        <v>-195350</v>
      </c>
      <c r="E5" s="18">
        <f>-('Monthly Load Generation Balance'!$AD$20+'Monthly Load Generation Balance'!$AD$21+'Small PURPA'!$D$14)</f>
        <v>-195350</v>
      </c>
      <c r="H5" s="8"/>
    </row>
    <row r="6" spans="2:8" x14ac:dyDescent="0.2">
      <c r="B6" s="17" t="s">
        <v>34</v>
      </c>
      <c r="C6" s="18">
        <f>-'Monthly Load Generation Balance'!AD7+Assumptions!B21</f>
        <v>-44747</v>
      </c>
      <c r="D6" s="18">
        <f>C6</f>
        <v>-44747</v>
      </c>
      <c r="E6" s="18">
        <f>-'Monthly Load Generation Balance'!AD7+Assumptions!B21</f>
        <v>-44747</v>
      </c>
      <c r="H6" s="8"/>
    </row>
    <row r="7" spans="2:8" x14ac:dyDescent="0.2">
      <c r="B7" s="22" t="s">
        <v>28</v>
      </c>
      <c r="C7" s="23">
        <f>SUM(C4:C6)</f>
        <v>5221594</v>
      </c>
      <c r="D7" s="23">
        <f>SUM(D4:D6)</f>
        <v>5221594</v>
      </c>
      <c r="E7" s="23">
        <f>SUM(E4:E6)</f>
        <v>5221594</v>
      </c>
      <c r="H7" s="8"/>
    </row>
    <row r="8" spans="2:8" x14ac:dyDescent="0.2">
      <c r="B8" s="12"/>
      <c r="C8" s="18"/>
      <c r="D8" s="18"/>
      <c r="E8" s="18"/>
    </row>
    <row r="9" spans="2:8" x14ac:dyDescent="0.2">
      <c r="B9" s="13" t="s">
        <v>29</v>
      </c>
      <c r="C9" s="18"/>
      <c r="D9" s="18"/>
      <c r="E9" s="18"/>
    </row>
    <row r="10" spans="2:8" x14ac:dyDescent="0.2">
      <c r="B10" s="14" t="s">
        <v>21</v>
      </c>
      <c r="C10" s="19">
        <f>SUM('Monthly Load Generation Balance'!AD8:AD16)</f>
        <v>3224185.0745000001</v>
      </c>
      <c r="D10" s="19">
        <f>'Median Hydro'!P29*Assumptions!B3</f>
        <v>3335423.5004752227</v>
      </c>
      <c r="E10" s="19">
        <f>C10-'REC and Specified Sales'!D7-'REC and Specified Sales'!D13</f>
        <v>1789076.0745000003</v>
      </c>
      <c r="H10" s="8"/>
    </row>
    <row r="11" spans="2:8" x14ac:dyDescent="0.2">
      <c r="B11" s="14" t="s">
        <v>3</v>
      </c>
      <c r="C11" s="19">
        <f>SUM('Monthly Load Generation Balance'!AD18:AD19)</f>
        <v>267391.79350000003</v>
      </c>
      <c r="D11" s="19">
        <f>C11</f>
        <v>267391.79350000003</v>
      </c>
      <c r="E11" s="19">
        <f>C11-'REC and Specified Sales'!D5-'REC and Specified Sales'!D11</f>
        <v>229430.33750000002</v>
      </c>
      <c r="H11" s="8"/>
    </row>
    <row r="12" spans="2:8" x14ac:dyDescent="0.2">
      <c r="B12" s="14" t="s">
        <v>22</v>
      </c>
      <c r="C12" s="19">
        <f>'Monthly Load Generation Balance'!AD17*Assumptions!B19</f>
        <v>165876.44615100001</v>
      </c>
      <c r="D12" s="19">
        <f>C12</f>
        <v>165876.44615100001</v>
      </c>
      <c r="E12" s="19">
        <f>C12-'REC and Specified Sales'!D6-'REC and Specified Sales'!D12</f>
        <v>149279.46965099999</v>
      </c>
      <c r="H12" s="8"/>
    </row>
    <row r="13" spans="2:8" x14ac:dyDescent="0.2">
      <c r="B13" s="14" t="s">
        <v>2</v>
      </c>
      <c r="C13" s="19">
        <f>Assumptions!B21</f>
        <v>534</v>
      </c>
      <c r="D13" s="19">
        <f>Assumptions!B21</f>
        <v>534</v>
      </c>
      <c r="E13" s="19">
        <f>Assumptions!B21</f>
        <v>534</v>
      </c>
      <c r="H13" s="8"/>
    </row>
    <row r="14" spans="2:8" x14ac:dyDescent="0.2">
      <c r="B14" s="15" t="s">
        <v>30</v>
      </c>
      <c r="C14" s="20">
        <f>SUM(C10:C13)</f>
        <v>3657987.3141510002</v>
      </c>
      <c r="D14" s="20">
        <f>SUM(D10:D13)</f>
        <v>3769225.7401262228</v>
      </c>
      <c r="E14" s="20">
        <f>SUM(E10:E13)</f>
        <v>2168319.8816510006</v>
      </c>
      <c r="H14" s="8"/>
    </row>
    <row r="15" spans="2:8" x14ac:dyDescent="0.2">
      <c r="B15" s="15"/>
      <c r="C15" s="20"/>
      <c r="D15" s="20"/>
      <c r="E15" s="20"/>
    </row>
    <row r="16" spans="2:8" x14ac:dyDescent="0.2">
      <c r="B16" s="15" t="s">
        <v>25</v>
      </c>
      <c r="C16" s="20"/>
      <c r="D16" s="20"/>
      <c r="E16" s="20"/>
    </row>
    <row r="17" spans="2:8" x14ac:dyDescent="0.2">
      <c r="B17" s="16" t="s">
        <v>3</v>
      </c>
      <c r="C17" s="19">
        <f>SUM('Monthly Load Generation Balance'!O18:O19)-C11</f>
        <v>139907.20649999997</v>
      </c>
      <c r="D17" s="19">
        <f>C17</f>
        <v>139907.20649999997</v>
      </c>
      <c r="E17" s="19">
        <f>C17-'REC and Specified Sales'!E5</f>
        <v>120044.66249999998</v>
      </c>
      <c r="H17" s="8"/>
    </row>
    <row r="18" spans="2:8" x14ac:dyDescent="0.2">
      <c r="B18" s="16" t="s">
        <v>22</v>
      </c>
      <c r="C18" s="19">
        <f>('Monthly Load Generation Balance'!O17*Assumptions!B19)-'Table 2.1'!C12</f>
        <v>86791.407848999981</v>
      </c>
      <c r="D18" s="19">
        <f>C18</f>
        <v>86791.407848999981</v>
      </c>
      <c r="E18" s="19">
        <f>C18-'REC and Specified Sales'!E6-'REC and Specified Sales'!E12</f>
        <v>78107.384348999985</v>
      </c>
      <c r="H18" s="8"/>
    </row>
    <row r="19" spans="2:8" x14ac:dyDescent="0.2">
      <c r="B19" s="15" t="s">
        <v>31</v>
      </c>
      <c r="C19" s="20">
        <f>SUM(C17:C18)</f>
        <v>226698.61434899995</v>
      </c>
      <c r="D19" s="20">
        <f>SUM(D17:D18)</f>
        <v>226698.61434899995</v>
      </c>
      <c r="E19" s="20">
        <f>SUM(E17:E18)</f>
        <v>198152.04684899998</v>
      </c>
      <c r="H19" s="8"/>
    </row>
    <row r="20" spans="2:8" x14ac:dyDescent="0.2">
      <c r="B20" s="15"/>
      <c r="C20" s="20"/>
      <c r="D20" s="20"/>
      <c r="E20" s="20"/>
    </row>
    <row r="21" spans="2:8" x14ac:dyDescent="0.2">
      <c r="B21" s="15" t="s">
        <v>32</v>
      </c>
      <c r="C21" s="20">
        <f>C14+C19</f>
        <v>3884685.9285000004</v>
      </c>
      <c r="D21" s="20">
        <f>D14+D19</f>
        <v>3995924.354475223</v>
      </c>
      <c r="E21" s="20">
        <f>E14+E19</f>
        <v>2366471.9285000004</v>
      </c>
    </row>
    <row r="22" spans="2:8" x14ac:dyDescent="0.2">
      <c r="B22" s="15" t="s">
        <v>33</v>
      </c>
      <c r="C22" s="24">
        <f>C21/C7</f>
        <v>0.7439655263316145</v>
      </c>
      <c r="D22" s="24">
        <f>D21/D7</f>
        <v>0.76526906428864883</v>
      </c>
      <c r="E22" s="24">
        <f>E21/E7</f>
        <v>0.45320871911910432</v>
      </c>
    </row>
    <row r="24" spans="2:8" x14ac:dyDescent="0.2">
      <c r="C24" s="25"/>
      <c r="D24" s="25"/>
    </row>
    <row r="25" spans="2:8" x14ac:dyDescent="0.2">
      <c r="B25" s="9"/>
    </row>
    <row r="26" spans="2:8" x14ac:dyDescent="0.2">
      <c r="B26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Monthly Load Generation Balance</vt:lpstr>
      <vt:lpstr>Small PURPA</vt:lpstr>
      <vt:lpstr>Assumptions</vt:lpstr>
      <vt:lpstr>REC and Specified Sales</vt:lpstr>
      <vt:lpstr>Median Hydro</vt:lpstr>
      <vt:lpstr>Table 2.1</vt:lpstr>
      <vt:lpstr>'Table 2.1'!_ftn1</vt:lpstr>
      <vt:lpstr>'Table 2.1'!_ftn2</vt:lpstr>
      <vt:lpstr>'Table 2.1'!_ftnref1</vt:lpstr>
      <vt:lpstr>'Table 2.1'!_ftnref2</vt:lpstr>
    </vt:vector>
  </TitlesOfParts>
  <Company>Avista Corp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Avista</dc:creator>
  <cp:lastModifiedBy>James Gall</cp:lastModifiedBy>
  <cp:lastPrinted>2021-08-16T18:55:18Z</cp:lastPrinted>
  <dcterms:created xsi:type="dcterms:W3CDTF">2019-04-08T22:08:17Z</dcterms:created>
  <dcterms:modified xsi:type="dcterms:W3CDTF">2021-09-10T19:54:02Z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{86E78392-F0AF-4126-8016-AD49A27608DB}</vt:lpwstr>
  </property>
</Properties>
</file>