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1\2021 WA Clean Energy Implementation Plan (CEIP) (UE-210628)\CEIP Document Final Draft 10.01.2021\Appendix C- Energy Efficiency\"/>
    </mc:Choice>
  </mc:AlternateContent>
  <xr:revisionPtr revIDLastSave="0" documentId="13_ncr:1_{26F0B229-7EDF-45AC-AC4E-AEBB75190475}" xr6:coauthVersionLast="45" xr6:coauthVersionMax="45" xr10:uidLastSave="{00000000-0000-0000-0000-000000000000}"/>
  <bookViews>
    <workbookView xWindow="-120" yWindow="-120" windowWidth="29040" windowHeight="15990" tabRatio="763" firstSheet="4" activeTab="8" xr2:uid="{00000000-000D-0000-FFFF-FFFF00000000}"/>
  </bookViews>
  <sheets>
    <sheet name="2.0 - Source" sheetId="55" state="hidden" r:id="rId1"/>
    <sheet name="2.0 - NEBs" sheetId="19" state="hidden" r:id="rId2"/>
    <sheet name="3.4 - Open" sheetId="22" state="hidden" r:id="rId3"/>
    <sheet name="3.6 - Open" sheetId="10" state="hidden" r:id="rId4"/>
    <sheet name="Figures for Chapter 4" sheetId="91" r:id="rId5"/>
    <sheet name="Tables for Chapter 4" sheetId="66" r:id="rId6"/>
    <sheet name="NR NEI" sheetId="79" r:id="rId7"/>
    <sheet name="2022 Portfolio Summary" sheetId="33" r:id="rId8"/>
    <sheet name="2022 Elec Program Cost Summary" sheetId="6" r:id="rId9"/>
  </sheets>
  <externalReferences>
    <externalReference r:id="rId10"/>
  </externalReferences>
  <definedNames>
    <definedName name="_xlnm._FilterDatabase" localSheetId="7" hidden="1">'2022 Portfolio Summary'!$A$1:$C$3</definedName>
    <definedName name="Elec_Measure_Type" localSheetId="2">'3.4 - Open'!$BK$1:$BK$22</definedName>
    <definedName name="Elec_Measure_Type" localSheetId="3">'3.6 - Open'!$BK$1:$BK$22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3" i="66" l="1"/>
  <c r="Y13" i="66"/>
  <c r="X4" i="66"/>
  <c r="X12" i="66" s="1"/>
  <c r="Y4" i="66"/>
  <c r="Y12" i="66" s="1"/>
  <c r="N10" i="91" l="1"/>
  <c r="P10" i="91" s="1"/>
  <c r="E115" i="79"/>
  <c r="E116" i="79"/>
  <c r="E117" i="79"/>
  <c r="E118" i="79"/>
  <c r="E119" i="79"/>
  <c r="E120" i="79"/>
  <c r="E121" i="79"/>
  <c r="E122" i="79"/>
  <c r="E123" i="79"/>
  <c r="E124" i="79"/>
  <c r="E125" i="79"/>
  <c r="E126" i="79"/>
  <c r="E127" i="79"/>
  <c r="E128" i="79"/>
  <c r="E129" i="79"/>
  <c r="E130" i="79"/>
  <c r="E131" i="79"/>
  <c r="E132" i="79"/>
  <c r="F132" i="79" s="1"/>
  <c r="E133" i="79"/>
  <c r="E134" i="79"/>
  <c r="E135" i="79"/>
  <c r="E136" i="79"/>
  <c r="E137" i="79"/>
  <c r="E138" i="79"/>
  <c r="E139" i="79"/>
  <c r="E140" i="79"/>
  <c r="E141" i="79"/>
  <c r="E142" i="79"/>
  <c r="E143" i="79"/>
  <c r="E144" i="79"/>
  <c r="E145" i="79"/>
  <c r="E146" i="79"/>
  <c r="E147" i="79"/>
  <c r="E148" i="79"/>
  <c r="E149" i="79"/>
  <c r="E150" i="79"/>
  <c r="E151" i="79"/>
  <c r="E152" i="79"/>
  <c r="E153" i="79"/>
  <c r="E154" i="79"/>
  <c r="E155" i="79"/>
  <c r="E156" i="79"/>
  <c r="E157" i="79"/>
  <c r="E158" i="79"/>
  <c r="E159" i="79"/>
  <c r="E160" i="79"/>
  <c r="E161" i="79"/>
  <c r="E162" i="79"/>
  <c r="E163" i="79"/>
  <c r="E164" i="79"/>
  <c r="E165" i="79"/>
  <c r="E166" i="79"/>
  <c r="E167" i="79"/>
  <c r="E168" i="79"/>
  <c r="E169" i="79"/>
  <c r="E114" i="79"/>
  <c r="F131" i="79" s="1"/>
  <c r="E3" i="79"/>
  <c r="E4" i="79"/>
  <c r="E5" i="79"/>
  <c r="E6" i="79"/>
  <c r="E7" i="79"/>
  <c r="E8" i="79"/>
  <c r="E9" i="79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F24" i="79" s="1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F38" i="79" s="1"/>
  <c r="E39" i="79"/>
  <c r="E40" i="79"/>
  <c r="E41" i="79"/>
  <c r="E42" i="79"/>
  <c r="E43" i="79"/>
  <c r="E44" i="79"/>
  <c r="E45" i="79"/>
  <c r="E46" i="79"/>
  <c r="E47" i="79"/>
  <c r="E48" i="79"/>
  <c r="E49" i="79"/>
  <c r="E50" i="79"/>
  <c r="E51" i="79"/>
  <c r="E52" i="79"/>
  <c r="E53" i="79"/>
  <c r="E54" i="79"/>
  <c r="E55" i="79"/>
  <c r="E56" i="79"/>
  <c r="E57" i="79"/>
  <c r="E58" i="79"/>
  <c r="E59" i="79"/>
  <c r="E60" i="79"/>
  <c r="E61" i="79"/>
  <c r="E62" i="79"/>
  <c r="E63" i="79"/>
  <c r="E64" i="79"/>
  <c r="E65" i="79"/>
  <c r="E66" i="79"/>
  <c r="E67" i="79"/>
  <c r="E68" i="79"/>
  <c r="E69" i="79"/>
  <c r="E70" i="79"/>
  <c r="E71" i="79"/>
  <c r="E72" i="79"/>
  <c r="E73" i="79"/>
  <c r="E74" i="79"/>
  <c r="E75" i="79"/>
  <c r="E76" i="79"/>
  <c r="E77" i="79"/>
  <c r="E78" i="79"/>
  <c r="E79" i="79"/>
  <c r="E80" i="79"/>
  <c r="E81" i="79"/>
  <c r="E82" i="79"/>
  <c r="E83" i="79"/>
  <c r="E84" i="79"/>
  <c r="E85" i="79"/>
  <c r="E86" i="79"/>
  <c r="E87" i="79"/>
  <c r="E88" i="79"/>
  <c r="E89" i="79"/>
  <c r="E90" i="79"/>
  <c r="E91" i="79"/>
  <c r="E92" i="79"/>
  <c r="E93" i="79"/>
  <c r="E94" i="79"/>
  <c r="E95" i="79"/>
  <c r="E96" i="79"/>
  <c r="E97" i="79"/>
  <c r="E98" i="79"/>
  <c r="E99" i="79"/>
  <c r="E100" i="79"/>
  <c r="E101" i="79"/>
  <c r="E102" i="79"/>
  <c r="E103" i="79"/>
  <c r="E104" i="79"/>
  <c r="E105" i="79"/>
  <c r="E106" i="79"/>
  <c r="E107" i="79"/>
  <c r="E108" i="79"/>
  <c r="F108" i="79" s="1"/>
  <c r="E109" i="79"/>
  <c r="F109" i="79" s="1"/>
  <c r="E2" i="79"/>
  <c r="E111" i="79" s="1"/>
  <c r="J118" i="91"/>
  <c r="D118" i="91"/>
  <c r="C118" i="91"/>
  <c r="J117" i="91"/>
  <c r="F117" i="91"/>
  <c r="E117" i="91"/>
  <c r="D117" i="91"/>
  <c r="C117" i="91"/>
  <c r="J110" i="91"/>
  <c r="C110" i="91"/>
  <c r="J108" i="91"/>
  <c r="I108" i="91"/>
  <c r="D108" i="91" s="1"/>
  <c r="F108" i="91"/>
  <c r="E108" i="91"/>
  <c r="I101" i="91"/>
  <c r="C101" i="91" s="1"/>
  <c r="F101" i="91"/>
  <c r="E101" i="91"/>
  <c r="D101" i="91"/>
  <c r="K94" i="91"/>
  <c r="F94" i="91" s="1"/>
  <c r="I94" i="91"/>
  <c r="C94" i="91" s="1"/>
  <c r="K85" i="91"/>
  <c r="F85" i="91" s="1"/>
  <c r="I85" i="91"/>
  <c r="D85" i="91" s="1"/>
  <c r="K82" i="91"/>
  <c r="E82" i="91" s="1"/>
  <c r="I82" i="91"/>
  <c r="R24" i="91" s="1"/>
  <c r="K75" i="91"/>
  <c r="F75" i="91" s="1"/>
  <c r="I75" i="91"/>
  <c r="C75" i="91" s="1"/>
  <c r="K67" i="91"/>
  <c r="F67" i="91" s="1"/>
  <c r="I67" i="91"/>
  <c r="C67" i="91" s="1"/>
  <c r="K61" i="91"/>
  <c r="F61" i="91" s="1"/>
  <c r="I61" i="91"/>
  <c r="D61" i="91" s="1"/>
  <c r="K53" i="91"/>
  <c r="E53" i="91" s="1"/>
  <c r="I53" i="91"/>
  <c r="C53" i="91" s="1"/>
  <c r="S46" i="91"/>
  <c r="R46" i="91"/>
  <c r="K46" i="91"/>
  <c r="S40" i="91" s="1"/>
  <c r="I46" i="91"/>
  <c r="C46" i="91" s="1"/>
  <c r="K43" i="91"/>
  <c r="E43" i="91" s="1"/>
  <c r="I43" i="91"/>
  <c r="R43" i="91" s="1"/>
  <c r="R40" i="91"/>
  <c r="K40" i="91"/>
  <c r="S108" i="91" s="1"/>
  <c r="I40" i="91"/>
  <c r="C40" i="91" s="1"/>
  <c r="S35" i="91"/>
  <c r="K35" i="91"/>
  <c r="S101" i="91" s="1"/>
  <c r="I35" i="91"/>
  <c r="C35" i="91" s="1"/>
  <c r="B35" i="91"/>
  <c r="R30" i="91"/>
  <c r="K30" i="91"/>
  <c r="S94" i="91" s="1"/>
  <c r="I30" i="91"/>
  <c r="R94" i="91" s="1"/>
  <c r="K27" i="91"/>
  <c r="F27" i="91" s="1"/>
  <c r="I27" i="91"/>
  <c r="D27" i="91" s="1"/>
  <c r="K24" i="91"/>
  <c r="F24" i="91" s="1"/>
  <c r="I24" i="91"/>
  <c r="R82" i="91" s="1"/>
  <c r="S22" i="91"/>
  <c r="K22" i="91"/>
  <c r="S75" i="91" s="1"/>
  <c r="I22" i="91"/>
  <c r="R75" i="91" s="1"/>
  <c r="S19" i="91"/>
  <c r="I19" i="91"/>
  <c r="D19" i="91" s="1"/>
  <c r="F19" i="91"/>
  <c r="E19" i="91"/>
  <c r="P14" i="91"/>
  <c r="W31" i="91" s="1"/>
  <c r="P13" i="91"/>
  <c r="M30" i="91" s="1"/>
  <c r="I11" i="91"/>
  <c r="R35" i="91" s="1"/>
  <c r="K8" i="91"/>
  <c r="S53" i="91" s="1"/>
  <c r="I8" i="91"/>
  <c r="R53" i="91" s="1"/>
  <c r="D8" i="91"/>
  <c r="P6" i="91"/>
  <c r="W29" i="91" s="1"/>
  <c r="K4" i="91"/>
  <c r="S61" i="91" s="1"/>
  <c r="I4" i="91"/>
  <c r="R61" i="91" s="1"/>
  <c r="S43" i="91" l="1"/>
  <c r="D94" i="91"/>
  <c r="E94" i="91"/>
  <c r="F30" i="91"/>
  <c r="E24" i="91"/>
  <c r="F82" i="91"/>
  <c r="F107" i="79"/>
  <c r="F81" i="79"/>
  <c r="F2" i="79"/>
  <c r="E171" i="79"/>
  <c r="E174" i="79" s="1"/>
  <c r="F4" i="91"/>
  <c r="F151" i="79"/>
  <c r="H7" i="66" s="1"/>
  <c r="N12" i="91" s="1"/>
  <c r="P12" i="91" s="1"/>
  <c r="F77" i="79"/>
  <c r="C11" i="91"/>
  <c r="C19" i="91"/>
  <c r="D24" i="91"/>
  <c r="S24" i="91"/>
  <c r="D35" i="91"/>
  <c r="E40" i="91"/>
  <c r="F43" i="91"/>
  <c r="D46" i="91"/>
  <c r="C85" i="91"/>
  <c r="F43" i="79"/>
  <c r="D11" i="91"/>
  <c r="D53" i="91"/>
  <c r="E67" i="91"/>
  <c r="S85" i="91"/>
  <c r="C22" i="91"/>
  <c r="R101" i="91"/>
  <c r="C4" i="91"/>
  <c r="C8" i="91"/>
  <c r="D22" i="91"/>
  <c r="E46" i="91"/>
  <c r="R67" i="91"/>
  <c r="E85" i="91"/>
  <c r="C108" i="91"/>
  <c r="E27" i="91"/>
  <c r="C61" i="91"/>
  <c r="E75" i="91"/>
  <c r="R85" i="91"/>
  <c r="D4" i="91"/>
  <c r="E4" i="91"/>
  <c r="S27" i="91"/>
  <c r="M29" i="91"/>
  <c r="E8" i="91"/>
  <c r="F22" i="91"/>
  <c r="M27" i="91"/>
  <c r="C30" i="91"/>
  <c r="E35" i="91"/>
  <c r="D40" i="91"/>
  <c r="C43" i="91"/>
  <c r="F53" i="91"/>
  <c r="E61" i="91"/>
  <c r="D67" i="91"/>
  <c r="D75" i="91"/>
  <c r="C82" i="91"/>
  <c r="S82" i="91"/>
  <c r="F8" i="91"/>
  <c r="Q13" i="91"/>
  <c r="R19" i="91"/>
  <c r="C27" i="91"/>
  <c r="D30" i="91"/>
  <c r="S30" i="91"/>
  <c r="F35" i="91"/>
  <c r="D43" i="91"/>
  <c r="D82" i="91"/>
  <c r="R108" i="91"/>
  <c r="I119" i="91"/>
  <c r="C24" i="91"/>
  <c r="E30" i="91"/>
  <c r="W30" i="91"/>
  <c r="F40" i="91"/>
  <c r="M31" i="91"/>
  <c r="K119" i="91"/>
  <c r="Q14" i="91"/>
  <c r="Q6" i="91"/>
  <c r="R22" i="91"/>
  <c r="F46" i="91"/>
  <c r="E22" i="91"/>
  <c r="F111" i="79" l="1"/>
  <c r="F171" i="79"/>
  <c r="F174" i="79" s="1"/>
  <c r="E119" i="91"/>
  <c r="R27" i="91"/>
  <c r="O10" i="91"/>
  <c r="W27" i="91" s="1"/>
  <c r="C119" i="91"/>
  <c r="D119" i="91"/>
  <c r="F119" i="91"/>
  <c r="O7" i="91"/>
  <c r="W22" i="91"/>
  <c r="M24" i="91"/>
  <c r="Q12" i="91"/>
  <c r="Q10" i="91" l="1"/>
  <c r="O15" i="91"/>
  <c r="J24" i="91"/>
  <c r="J40" i="91"/>
  <c r="J22" i="91"/>
  <c r="J27" i="91"/>
  <c r="J94" i="91"/>
  <c r="J19" i="91"/>
  <c r="J43" i="91" l="1"/>
  <c r="J35" i="91"/>
  <c r="J30" i="91"/>
  <c r="J4" i="91"/>
  <c r="J11" i="91"/>
  <c r="J101" i="91"/>
  <c r="J46" i="91" l="1"/>
  <c r="J8" i="91"/>
  <c r="J85" i="91" l="1"/>
  <c r="J75" i="91" l="1"/>
  <c r="J82" i="91"/>
  <c r="J53" i="91"/>
  <c r="J61" i="91" l="1"/>
  <c r="J67" i="91"/>
  <c r="J119" i="91" s="1"/>
  <c r="C37" i="33" l="1"/>
  <c r="C25" i="33"/>
  <c r="C27" i="33" s="1"/>
  <c r="C29" i="33" s="1"/>
  <c r="C39" i="33" s="1"/>
  <c r="B25" i="33"/>
  <c r="B27" i="33" s="1"/>
  <c r="B29" i="33" s="1"/>
  <c r="B39" i="33" s="1"/>
  <c r="C12" i="33"/>
  <c r="B12" i="33"/>
  <c r="C5" i="33"/>
  <c r="B5" i="33"/>
  <c r="Y6" i="66"/>
  <c r="X14" i="66"/>
  <c r="W5" i="66"/>
  <c r="W6" i="66" s="1"/>
  <c r="S5" i="66"/>
  <c r="S13" i="66" s="1"/>
  <c r="O5" i="66"/>
  <c r="O13" i="66" s="1"/>
  <c r="G5" i="66"/>
  <c r="W7" i="6"/>
  <c r="W8" i="6"/>
  <c r="W9" i="6"/>
  <c r="H5" i="66" s="1"/>
  <c r="W10" i="6"/>
  <c r="I5" i="66" s="1"/>
  <c r="I13" i="66" s="1"/>
  <c r="W11" i="6"/>
  <c r="J5" i="66" s="1"/>
  <c r="J13" i="66" s="1"/>
  <c r="W14" i="6"/>
  <c r="L5" i="66" s="1"/>
  <c r="L13" i="66" s="1"/>
  <c r="W15" i="6"/>
  <c r="M5" i="66" s="1"/>
  <c r="M13" i="66" s="1"/>
  <c r="W16" i="6"/>
  <c r="N5" i="66" s="1"/>
  <c r="N13" i="66" s="1"/>
  <c r="W17" i="6"/>
  <c r="W18" i="6"/>
  <c r="P5" i="66" s="1"/>
  <c r="P13" i="66" s="1"/>
  <c r="W19" i="6"/>
  <c r="Q5" i="66" s="1"/>
  <c r="Q13" i="66" s="1"/>
  <c r="W20" i="6"/>
  <c r="R5" i="66" s="1"/>
  <c r="R13" i="66" s="1"/>
  <c r="W21" i="6"/>
  <c r="W22" i="6"/>
  <c r="T5" i="66" s="1"/>
  <c r="W23" i="6"/>
  <c r="U5" i="66" s="1"/>
  <c r="U13" i="66" s="1"/>
  <c r="W24" i="6"/>
  <c r="V5" i="66" s="1"/>
  <c r="V13" i="66" s="1"/>
  <c r="V4" i="66"/>
  <c r="V12" i="66" s="1"/>
  <c r="U4" i="66"/>
  <c r="T4" i="66"/>
  <c r="T12" i="66" s="1"/>
  <c r="S4" i="66"/>
  <c r="R4" i="66"/>
  <c r="R12" i="66" s="1"/>
  <c r="Q4" i="66"/>
  <c r="Q12" i="66" s="1"/>
  <c r="P4" i="66"/>
  <c r="O4" i="66"/>
  <c r="N4" i="66"/>
  <c r="N12" i="66" s="1"/>
  <c r="M4" i="66"/>
  <c r="L4" i="66"/>
  <c r="K4" i="66"/>
  <c r="K12" i="66" s="1"/>
  <c r="J4" i="66"/>
  <c r="J12" i="66" s="1"/>
  <c r="I4" i="66"/>
  <c r="I12" i="66" s="1"/>
  <c r="H4" i="66"/>
  <c r="H12" i="66" s="1"/>
  <c r="G4" i="66"/>
  <c r="E31" i="66"/>
  <c r="Y14" i="66"/>
  <c r="W14" i="66"/>
  <c r="C13" i="66"/>
  <c r="D13" i="66"/>
  <c r="E13" i="66"/>
  <c r="F13" i="66"/>
  <c r="B13" i="66"/>
  <c r="C12" i="66"/>
  <c r="D12" i="66"/>
  <c r="E12" i="66"/>
  <c r="F12" i="66"/>
  <c r="W12" i="66"/>
  <c r="B12" i="66"/>
  <c r="C11" i="66"/>
  <c r="D11" i="66"/>
  <c r="E11" i="66"/>
  <c r="F11" i="66"/>
  <c r="G11" i="66"/>
  <c r="B26" i="66" s="1"/>
  <c r="M9" i="91" s="1"/>
  <c r="H11" i="66"/>
  <c r="B29" i="66" s="1"/>
  <c r="I11" i="66"/>
  <c r="B23" i="66" s="1"/>
  <c r="J11" i="66"/>
  <c r="B30" i="66" s="1"/>
  <c r="L11" i="66"/>
  <c r="M11" i="66"/>
  <c r="N11" i="66"/>
  <c r="B21" i="66" s="1"/>
  <c r="O11" i="66"/>
  <c r="P11" i="66"/>
  <c r="K11" i="66"/>
  <c r="B28" i="66" s="1"/>
  <c r="M11" i="91" s="1"/>
  <c r="Q11" i="66"/>
  <c r="R11" i="66"/>
  <c r="S11" i="66"/>
  <c r="T11" i="66"/>
  <c r="U11" i="66"/>
  <c r="V11" i="66"/>
  <c r="B25" i="66" s="1"/>
  <c r="M8" i="91" s="1"/>
  <c r="W11" i="66"/>
  <c r="B31" i="66" s="1"/>
  <c r="B11" i="66"/>
  <c r="V15" i="66"/>
  <c r="U15" i="66"/>
  <c r="T15" i="66"/>
  <c r="Q15" i="66"/>
  <c r="K15" i="66"/>
  <c r="P15" i="66"/>
  <c r="N15" i="66"/>
  <c r="M15" i="66"/>
  <c r="L15" i="66"/>
  <c r="H15" i="66"/>
  <c r="G15" i="66"/>
  <c r="K7" i="66"/>
  <c r="N11" i="91" s="1"/>
  <c r="P11" i="91" s="1"/>
  <c r="W21" i="91" s="1"/>
  <c r="G7" i="66"/>
  <c r="N9" i="91" s="1"/>
  <c r="P9" i="91" s="1"/>
  <c r="Z3" i="66"/>
  <c r="V7" i="66"/>
  <c r="N8" i="91" s="1"/>
  <c r="P8" i="91" s="1"/>
  <c r="U7" i="66"/>
  <c r="T7" i="66"/>
  <c r="Q7" i="66"/>
  <c r="P7" i="66"/>
  <c r="N7" i="66"/>
  <c r="N4" i="91" s="1"/>
  <c r="M7" i="66"/>
  <c r="L7" i="6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W25" i="6" s="1"/>
  <c r="B25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W12" i="6" s="1"/>
  <c r="B12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W5" i="6" s="1"/>
  <c r="K5" i="66" s="1"/>
  <c r="K13" i="66" s="1"/>
  <c r="B5" i="6"/>
  <c r="B6" i="66"/>
  <c r="C6" i="66"/>
  <c r="D6" i="66"/>
  <c r="E6" i="66"/>
  <c r="F6" i="66"/>
  <c r="B27" i="66" l="1"/>
  <c r="C27" i="66" s="1"/>
  <c r="R27" i="6"/>
  <c r="N5" i="91"/>
  <c r="P5" i="91" s="1"/>
  <c r="Q5" i="91" s="1"/>
  <c r="D21" i="66"/>
  <c r="M4" i="91"/>
  <c r="B22" i="66"/>
  <c r="C22" i="66" s="1"/>
  <c r="N7" i="91"/>
  <c r="P7" i="91" s="1"/>
  <c r="M28" i="91" s="1"/>
  <c r="D23" i="66"/>
  <c r="M6" i="91"/>
  <c r="E29" i="66"/>
  <c r="M12" i="91"/>
  <c r="P6" i="66"/>
  <c r="D30" i="66"/>
  <c r="M13" i="91"/>
  <c r="M26" i="91"/>
  <c r="W26" i="91"/>
  <c r="Q8" i="91"/>
  <c r="D31" i="66"/>
  <c r="M14" i="91"/>
  <c r="M25" i="91"/>
  <c r="Q9" i="91"/>
  <c r="W23" i="91"/>
  <c r="W46" i="91"/>
  <c r="W47" i="91"/>
  <c r="P4" i="91"/>
  <c r="M23" i="91"/>
  <c r="Q11" i="91"/>
  <c r="L6" i="66"/>
  <c r="D28" i="66"/>
  <c r="E28" i="66"/>
  <c r="B24" i="66"/>
  <c r="E24" i="66" s="1"/>
  <c r="C26" i="66"/>
  <c r="E26" i="66"/>
  <c r="D26" i="66"/>
  <c r="E25" i="66"/>
  <c r="D25" i="66"/>
  <c r="C25" i="66"/>
  <c r="C28" i="66"/>
  <c r="K6" i="66"/>
  <c r="T6" i="66"/>
  <c r="X6" i="66"/>
  <c r="W13" i="66"/>
  <c r="U6" i="66"/>
  <c r="T13" i="66"/>
  <c r="T14" i="66" s="1"/>
  <c r="S6" i="66"/>
  <c r="Q14" i="66"/>
  <c r="O6" i="66"/>
  <c r="N14" i="66"/>
  <c r="M6" i="66"/>
  <c r="Z5" i="66"/>
  <c r="H13" i="66"/>
  <c r="H14" i="66" s="1"/>
  <c r="G6" i="66"/>
  <c r="G13" i="66"/>
  <c r="V6" i="66"/>
  <c r="U12" i="66"/>
  <c r="U14" i="66" s="1"/>
  <c r="S12" i="66"/>
  <c r="S14" i="66" s="1"/>
  <c r="R6" i="66"/>
  <c r="Q6" i="66"/>
  <c r="P12" i="66"/>
  <c r="P14" i="66" s="1"/>
  <c r="O12" i="66"/>
  <c r="O14" i="66" s="1"/>
  <c r="N6" i="66"/>
  <c r="M12" i="66"/>
  <c r="M14" i="66" s="1"/>
  <c r="L12" i="66"/>
  <c r="L14" i="66" s="1"/>
  <c r="J6" i="66"/>
  <c r="G12" i="66"/>
  <c r="I6" i="66"/>
  <c r="H6" i="66"/>
  <c r="Z4" i="66"/>
  <c r="E30" i="66"/>
  <c r="C30" i="66"/>
  <c r="E27" i="66"/>
  <c r="D29" i="66"/>
  <c r="C29" i="66"/>
  <c r="D27" i="66"/>
  <c r="E14" i="66"/>
  <c r="K14" i="66"/>
  <c r="R14" i="66"/>
  <c r="J14" i="66"/>
  <c r="C14" i="66"/>
  <c r="Z15" i="66"/>
  <c r="D14" i="66"/>
  <c r="I14" i="66"/>
  <c r="V14" i="66"/>
  <c r="Z11" i="66"/>
  <c r="F14" i="66"/>
  <c r="B14" i="66"/>
  <c r="E21" i="66"/>
  <c r="E23" i="66"/>
  <c r="C21" i="66"/>
  <c r="C23" i="66"/>
  <c r="Z7" i="66"/>
  <c r="G27" i="6"/>
  <c r="O27" i="6"/>
  <c r="J27" i="6"/>
  <c r="F27" i="6"/>
  <c r="Q27" i="6"/>
  <c r="I27" i="6"/>
  <c r="P27" i="6"/>
  <c r="H27" i="6"/>
  <c r="M27" i="6"/>
  <c r="E27" i="6"/>
  <c r="L27" i="6"/>
  <c r="D27" i="6"/>
  <c r="N27" i="6"/>
  <c r="S27" i="6"/>
  <c r="K27" i="6"/>
  <c r="C27" i="6"/>
  <c r="B27" i="6"/>
  <c r="M10" i="91" l="1"/>
  <c r="B32" i="66"/>
  <c r="D22" i="66"/>
  <c r="M22" i="91"/>
  <c r="W27" i="6"/>
  <c r="Z13" i="66"/>
  <c r="W28" i="91"/>
  <c r="E22" i="66"/>
  <c r="E32" i="66" s="1"/>
  <c r="M5" i="91"/>
  <c r="W24" i="91"/>
  <c r="Q7" i="91"/>
  <c r="N15" i="91"/>
  <c r="N16" i="91" s="1"/>
  <c r="D24" i="66"/>
  <c r="D32" i="66" s="1"/>
  <c r="M7" i="91"/>
  <c r="Q4" i="91"/>
  <c r="W45" i="91"/>
  <c r="M21" i="91"/>
  <c r="W25" i="91"/>
  <c r="P15" i="91"/>
  <c r="Q15" i="91" s="1"/>
  <c r="Z12" i="66"/>
  <c r="J21" i="66" s="1"/>
  <c r="AA7" i="66"/>
  <c r="C24" i="66"/>
  <c r="C32" i="66" s="1"/>
  <c r="G14" i="66"/>
  <c r="Z14" i="66" s="1"/>
  <c r="Z6" i="66"/>
  <c r="AA6" i="66" s="1"/>
  <c r="M15" i="91" l="1"/>
  <c r="M16" i="91" s="1"/>
  <c r="M32" i="91"/>
  <c r="J24" i="66"/>
  <c r="K21" i="66"/>
  <c r="K22" i="66" s="1"/>
  <c r="K23" i="66" s="1"/>
  <c r="J23" i="66"/>
  <c r="J22" i="66"/>
  <c r="L21" i="66" l="1"/>
  <c r="M21" i="66" s="1"/>
  <c r="L22" i="66"/>
  <c r="J25" i="66"/>
  <c r="K24" i="66"/>
  <c r="L24" i="66" s="1"/>
  <c r="L23" i="66"/>
  <c r="L25" i="66" l="1"/>
  <c r="K25" i="66"/>
  <c r="AP102" i="10" l="1"/>
  <c r="AM102" i="10"/>
  <c r="AC102" i="10"/>
  <c r="AK102" i="10" s="1"/>
  <c r="AL102" i="10" s="1"/>
  <c r="AB102" i="10"/>
  <c r="X102" i="10"/>
  <c r="Y102" i="10" s="1"/>
  <c r="AI102" i="10" s="1"/>
  <c r="V102" i="10"/>
  <c r="W102" i="10" s="1"/>
  <c r="AG102" i="10" s="1"/>
  <c r="U102" i="10"/>
  <c r="T102" i="10"/>
  <c r="AD102" i="10" s="1"/>
  <c r="AP101" i="10"/>
  <c r="AM101" i="10"/>
  <c r="AC101" i="10"/>
  <c r="AK101" i="10" s="1"/>
  <c r="AL101" i="10" s="1"/>
  <c r="AB101" i="10"/>
  <c r="X101" i="10"/>
  <c r="Y101" i="10" s="1"/>
  <c r="AI101" i="10" s="1"/>
  <c r="V101" i="10"/>
  <c r="U101" i="10"/>
  <c r="T101" i="10"/>
  <c r="AD101" i="10" s="1"/>
  <c r="AP100" i="10"/>
  <c r="AM100" i="10"/>
  <c r="AC100" i="10"/>
  <c r="AK100" i="10" s="1"/>
  <c r="AL100" i="10" s="1"/>
  <c r="AB100" i="10"/>
  <c r="X100" i="10"/>
  <c r="Y100" i="10" s="1"/>
  <c r="AI100" i="10" s="1"/>
  <c r="V100" i="10"/>
  <c r="AF100" i="10" s="1"/>
  <c r="U100" i="10"/>
  <c r="T100" i="10"/>
  <c r="AD100" i="10" s="1"/>
  <c r="AP99" i="10"/>
  <c r="AM99" i="10"/>
  <c r="AC99" i="10"/>
  <c r="AK99" i="10" s="1"/>
  <c r="AL99" i="10" s="1"/>
  <c r="AB99" i="10"/>
  <c r="X99" i="10"/>
  <c r="V99" i="10"/>
  <c r="AF99" i="10" s="1"/>
  <c r="U99" i="10"/>
  <c r="T99" i="10"/>
  <c r="AD99" i="10" s="1"/>
  <c r="AP98" i="10"/>
  <c r="AM98" i="10"/>
  <c r="AC98" i="10"/>
  <c r="AK98" i="10" s="1"/>
  <c r="AL98" i="10" s="1"/>
  <c r="AB98" i="10"/>
  <c r="X98" i="10"/>
  <c r="AH98" i="10" s="1"/>
  <c r="V98" i="10"/>
  <c r="W98" i="10" s="1"/>
  <c r="AG98" i="10" s="1"/>
  <c r="U98" i="10"/>
  <c r="T98" i="10"/>
  <c r="AD98" i="10" s="1"/>
  <c r="AP97" i="10"/>
  <c r="AM97" i="10"/>
  <c r="AC97" i="10"/>
  <c r="AK97" i="10" s="1"/>
  <c r="AL97" i="10" s="1"/>
  <c r="AB97" i="10"/>
  <c r="X97" i="10"/>
  <c r="AH97" i="10" s="1"/>
  <c r="V97" i="10"/>
  <c r="AF97" i="10" s="1"/>
  <c r="U97" i="10"/>
  <c r="T97" i="10"/>
  <c r="AD97" i="10" s="1"/>
  <c r="AP96" i="10"/>
  <c r="AM96" i="10"/>
  <c r="AC96" i="10"/>
  <c r="AK96" i="10" s="1"/>
  <c r="AL96" i="10" s="1"/>
  <c r="AB96" i="10"/>
  <c r="X96" i="10"/>
  <c r="Y96" i="10" s="1"/>
  <c r="AI96" i="10" s="1"/>
  <c r="V96" i="10"/>
  <c r="AF96" i="10" s="1"/>
  <c r="U96" i="10"/>
  <c r="T96" i="10"/>
  <c r="AD96" i="10" s="1"/>
  <c r="AP95" i="10"/>
  <c r="AM95" i="10"/>
  <c r="AC95" i="10"/>
  <c r="AK95" i="10" s="1"/>
  <c r="AL95" i="10" s="1"/>
  <c r="AB95" i="10"/>
  <c r="X95" i="10"/>
  <c r="AH95" i="10" s="1"/>
  <c r="V95" i="10"/>
  <c r="W95" i="10" s="1"/>
  <c r="AG95" i="10" s="1"/>
  <c r="U95" i="10"/>
  <c r="T95" i="10"/>
  <c r="AD95" i="10" s="1"/>
  <c r="AP94" i="10"/>
  <c r="AM94" i="10"/>
  <c r="AC94" i="10"/>
  <c r="AK94" i="10" s="1"/>
  <c r="AL94" i="10" s="1"/>
  <c r="AB94" i="10"/>
  <c r="X94" i="10"/>
  <c r="Y94" i="10" s="1"/>
  <c r="AI94" i="10" s="1"/>
  <c r="V94" i="10"/>
  <c r="W94" i="10" s="1"/>
  <c r="AG94" i="10" s="1"/>
  <c r="U94" i="10"/>
  <c r="T94" i="10"/>
  <c r="AD94" i="10" s="1"/>
  <c r="AP93" i="10"/>
  <c r="AM93" i="10"/>
  <c r="AC93" i="10"/>
  <c r="AK93" i="10" s="1"/>
  <c r="AL93" i="10" s="1"/>
  <c r="AB93" i="10"/>
  <c r="X93" i="10"/>
  <c r="Y93" i="10" s="1"/>
  <c r="AI93" i="10" s="1"/>
  <c r="V93" i="10"/>
  <c r="U93" i="10"/>
  <c r="T93" i="10"/>
  <c r="AD93" i="10" s="1"/>
  <c r="AP92" i="10"/>
  <c r="AM92" i="10"/>
  <c r="AC92" i="10"/>
  <c r="AK92" i="10" s="1"/>
  <c r="AL92" i="10" s="1"/>
  <c r="AB92" i="10"/>
  <c r="X92" i="10"/>
  <c r="AH92" i="10" s="1"/>
  <c r="V92" i="10"/>
  <c r="AF92" i="10" s="1"/>
  <c r="U92" i="10"/>
  <c r="T92" i="10"/>
  <c r="AD92" i="10" s="1"/>
  <c r="AP91" i="10"/>
  <c r="AM91" i="10"/>
  <c r="AC91" i="10"/>
  <c r="AK91" i="10" s="1"/>
  <c r="AL91" i="10" s="1"/>
  <c r="AB91" i="10"/>
  <c r="X91" i="10"/>
  <c r="V91" i="10"/>
  <c r="AF91" i="10" s="1"/>
  <c r="U91" i="10"/>
  <c r="T91" i="10"/>
  <c r="AD91" i="10" s="1"/>
  <c r="AP90" i="10"/>
  <c r="AM90" i="10"/>
  <c r="AC90" i="10"/>
  <c r="AK90" i="10" s="1"/>
  <c r="AL90" i="10" s="1"/>
  <c r="AB90" i="10"/>
  <c r="X90" i="10"/>
  <c r="AH90" i="10" s="1"/>
  <c r="V90" i="10"/>
  <c r="W90" i="10" s="1"/>
  <c r="AG90" i="10" s="1"/>
  <c r="U90" i="10"/>
  <c r="T90" i="10"/>
  <c r="AD90" i="10" s="1"/>
  <c r="AP89" i="10"/>
  <c r="AM89" i="10"/>
  <c r="AC89" i="10"/>
  <c r="AK89" i="10" s="1"/>
  <c r="AL89" i="10" s="1"/>
  <c r="AB89" i="10"/>
  <c r="X89" i="10"/>
  <c r="AH89" i="10" s="1"/>
  <c r="V89" i="10"/>
  <c r="AF89" i="10" s="1"/>
  <c r="U89" i="10"/>
  <c r="T89" i="10"/>
  <c r="AD89" i="10" s="1"/>
  <c r="AP88" i="10"/>
  <c r="AM88" i="10"/>
  <c r="AC88" i="10"/>
  <c r="AK88" i="10" s="1"/>
  <c r="AL88" i="10" s="1"/>
  <c r="AB88" i="10"/>
  <c r="X88" i="10"/>
  <c r="Y88" i="10" s="1"/>
  <c r="AI88" i="10" s="1"/>
  <c r="V88" i="10"/>
  <c r="W88" i="10" s="1"/>
  <c r="AG88" i="10" s="1"/>
  <c r="U88" i="10"/>
  <c r="T88" i="10"/>
  <c r="AD88" i="10" s="1"/>
  <c r="AP87" i="10"/>
  <c r="AM87" i="10"/>
  <c r="AC87" i="10"/>
  <c r="AK87" i="10" s="1"/>
  <c r="AL87" i="10" s="1"/>
  <c r="AB87" i="10"/>
  <c r="X87" i="10"/>
  <c r="AH87" i="10" s="1"/>
  <c r="V87" i="10"/>
  <c r="W87" i="10" s="1"/>
  <c r="AG87" i="10" s="1"/>
  <c r="U87" i="10"/>
  <c r="T87" i="10"/>
  <c r="AD87" i="10" s="1"/>
  <c r="AP86" i="10"/>
  <c r="AM86" i="10"/>
  <c r="AC86" i="10"/>
  <c r="AK86" i="10" s="1"/>
  <c r="AL86" i="10" s="1"/>
  <c r="AB86" i="10"/>
  <c r="X86" i="10"/>
  <c r="AH86" i="10" s="1"/>
  <c r="V86" i="10"/>
  <c r="AF86" i="10" s="1"/>
  <c r="U86" i="10"/>
  <c r="T86" i="10"/>
  <c r="AD86" i="10" s="1"/>
  <c r="AP85" i="10"/>
  <c r="AM85" i="10"/>
  <c r="AC85" i="10"/>
  <c r="AK85" i="10" s="1"/>
  <c r="AL85" i="10" s="1"/>
  <c r="AB85" i="10"/>
  <c r="X85" i="10"/>
  <c r="AH85" i="10" s="1"/>
  <c r="V85" i="10"/>
  <c r="U85" i="10"/>
  <c r="T85" i="10"/>
  <c r="AD85" i="10" s="1"/>
  <c r="AP84" i="10"/>
  <c r="AM84" i="10"/>
  <c r="AC84" i="10"/>
  <c r="AK84" i="10" s="1"/>
  <c r="AL84" i="10" s="1"/>
  <c r="AB84" i="10"/>
  <c r="X84" i="10"/>
  <c r="Y84" i="10" s="1"/>
  <c r="AI84" i="10" s="1"/>
  <c r="V84" i="10"/>
  <c r="AF84" i="10" s="1"/>
  <c r="U84" i="10"/>
  <c r="T84" i="10"/>
  <c r="AD84" i="10" s="1"/>
  <c r="AP83" i="10"/>
  <c r="AM83" i="10"/>
  <c r="AC83" i="10"/>
  <c r="AK83" i="10" s="1"/>
  <c r="AL83" i="10" s="1"/>
  <c r="AB83" i="10"/>
  <c r="X83" i="10"/>
  <c r="V83" i="10"/>
  <c r="W83" i="10" s="1"/>
  <c r="AG83" i="10" s="1"/>
  <c r="U83" i="10"/>
  <c r="T83" i="10"/>
  <c r="AD83" i="10" s="1"/>
  <c r="AP82" i="10"/>
  <c r="AM82" i="10"/>
  <c r="AC82" i="10"/>
  <c r="AK82" i="10" s="1"/>
  <c r="AL82" i="10" s="1"/>
  <c r="AB82" i="10"/>
  <c r="Y82" i="10"/>
  <c r="AI82" i="10" s="1"/>
  <c r="X82" i="10"/>
  <c r="AH82" i="10" s="1"/>
  <c r="V82" i="10"/>
  <c r="W82" i="10" s="1"/>
  <c r="AG82" i="10" s="1"/>
  <c r="U82" i="10"/>
  <c r="T82" i="10"/>
  <c r="AD82" i="10" s="1"/>
  <c r="AP81" i="10"/>
  <c r="AM81" i="10"/>
  <c r="AC81" i="10"/>
  <c r="AK81" i="10" s="1"/>
  <c r="AL81" i="10" s="1"/>
  <c r="AB81" i="10"/>
  <c r="X81" i="10"/>
  <c r="Y81" i="10" s="1"/>
  <c r="AI81" i="10" s="1"/>
  <c r="V81" i="10"/>
  <c r="AF81" i="10" s="1"/>
  <c r="U81" i="10"/>
  <c r="T81" i="10"/>
  <c r="AD81" i="10" s="1"/>
  <c r="AP80" i="10"/>
  <c r="AM80" i="10"/>
  <c r="AC80" i="10"/>
  <c r="AK80" i="10" s="1"/>
  <c r="AL80" i="10" s="1"/>
  <c r="AB80" i="10"/>
  <c r="X80" i="10"/>
  <c r="Y80" i="10" s="1"/>
  <c r="AI80" i="10" s="1"/>
  <c r="V80" i="10"/>
  <c r="W80" i="10" s="1"/>
  <c r="AG80" i="10" s="1"/>
  <c r="U80" i="10"/>
  <c r="T80" i="10"/>
  <c r="AD80" i="10" s="1"/>
  <c r="AP79" i="10"/>
  <c r="AM79" i="10"/>
  <c r="AC79" i="10"/>
  <c r="AK79" i="10" s="1"/>
  <c r="AL79" i="10" s="1"/>
  <c r="AB79" i="10"/>
  <c r="X79" i="10"/>
  <c r="AH79" i="10" s="1"/>
  <c r="V79" i="10"/>
  <c r="W79" i="10" s="1"/>
  <c r="AG79" i="10" s="1"/>
  <c r="U79" i="10"/>
  <c r="T79" i="10"/>
  <c r="AD79" i="10" s="1"/>
  <c r="AP78" i="10"/>
  <c r="AM78" i="10"/>
  <c r="AC78" i="10"/>
  <c r="AK78" i="10" s="1"/>
  <c r="AL78" i="10" s="1"/>
  <c r="AB78" i="10"/>
  <c r="X78" i="10"/>
  <c r="Y78" i="10" s="1"/>
  <c r="AI78" i="10" s="1"/>
  <c r="V78" i="10"/>
  <c r="AF78" i="10" s="1"/>
  <c r="U78" i="10"/>
  <c r="T78" i="10"/>
  <c r="AD78" i="10" s="1"/>
  <c r="AP77" i="10"/>
  <c r="AM77" i="10"/>
  <c r="AC77" i="10"/>
  <c r="AK77" i="10" s="1"/>
  <c r="AL77" i="10" s="1"/>
  <c r="AB77" i="10"/>
  <c r="X77" i="10"/>
  <c r="Y77" i="10" s="1"/>
  <c r="AI77" i="10" s="1"/>
  <c r="V77" i="10"/>
  <c r="U77" i="10"/>
  <c r="T77" i="10"/>
  <c r="AD77" i="10" s="1"/>
  <c r="AP76" i="10"/>
  <c r="AM76" i="10"/>
  <c r="AC76" i="10"/>
  <c r="AK76" i="10" s="1"/>
  <c r="AL76" i="10" s="1"/>
  <c r="AB76" i="10"/>
  <c r="X76" i="10"/>
  <c r="Y76" i="10" s="1"/>
  <c r="AI76" i="10" s="1"/>
  <c r="V76" i="10"/>
  <c r="AF76" i="10" s="1"/>
  <c r="U76" i="10"/>
  <c r="T76" i="10"/>
  <c r="AD76" i="10" s="1"/>
  <c r="AP75" i="10"/>
  <c r="AM75" i="10"/>
  <c r="AC75" i="10"/>
  <c r="AK75" i="10" s="1"/>
  <c r="AL75" i="10" s="1"/>
  <c r="AB75" i="10"/>
  <c r="X75" i="10"/>
  <c r="V75" i="10"/>
  <c r="W75" i="10" s="1"/>
  <c r="AG75" i="10" s="1"/>
  <c r="U75" i="10"/>
  <c r="T75" i="10"/>
  <c r="AD75" i="10" s="1"/>
  <c r="AP74" i="10"/>
  <c r="AM74" i="10"/>
  <c r="AC74" i="10"/>
  <c r="AK74" i="10" s="1"/>
  <c r="AL74" i="10" s="1"/>
  <c r="AB74" i="10"/>
  <c r="X74" i="10"/>
  <c r="AH74" i="10" s="1"/>
  <c r="V74" i="10"/>
  <c r="W74" i="10" s="1"/>
  <c r="AG74" i="10" s="1"/>
  <c r="U74" i="10"/>
  <c r="T74" i="10"/>
  <c r="AD74" i="10" s="1"/>
  <c r="AP73" i="10"/>
  <c r="AM73" i="10"/>
  <c r="AC73" i="10"/>
  <c r="AK73" i="10" s="1"/>
  <c r="AL73" i="10" s="1"/>
  <c r="AB73" i="10"/>
  <c r="X73" i="10"/>
  <c r="Y73" i="10" s="1"/>
  <c r="AI73" i="10" s="1"/>
  <c r="V73" i="10"/>
  <c r="AF73" i="10" s="1"/>
  <c r="U73" i="10"/>
  <c r="T73" i="10"/>
  <c r="AD73" i="10" s="1"/>
  <c r="AP72" i="10"/>
  <c r="AM72" i="10"/>
  <c r="AC72" i="10"/>
  <c r="AK72" i="10" s="1"/>
  <c r="AL72" i="10" s="1"/>
  <c r="AB72" i="10"/>
  <c r="X72" i="10"/>
  <c r="Y72" i="10" s="1"/>
  <c r="AI72" i="10" s="1"/>
  <c r="V72" i="10"/>
  <c r="W72" i="10" s="1"/>
  <c r="AG72" i="10" s="1"/>
  <c r="U72" i="10"/>
  <c r="T72" i="10"/>
  <c r="AD72" i="10" s="1"/>
  <c r="AP71" i="10"/>
  <c r="AM71" i="10"/>
  <c r="AC71" i="10"/>
  <c r="AK71" i="10" s="1"/>
  <c r="AL71" i="10" s="1"/>
  <c r="AB71" i="10"/>
  <c r="X71" i="10"/>
  <c r="AH71" i="10" s="1"/>
  <c r="V71" i="10"/>
  <c r="W71" i="10" s="1"/>
  <c r="AG71" i="10" s="1"/>
  <c r="U71" i="10"/>
  <c r="T71" i="10"/>
  <c r="AD71" i="10" s="1"/>
  <c r="AP70" i="10"/>
  <c r="AM70" i="10"/>
  <c r="AC70" i="10"/>
  <c r="AK70" i="10" s="1"/>
  <c r="AL70" i="10" s="1"/>
  <c r="AB70" i="10"/>
  <c r="X70" i="10"/>
  <c r="Y70" i="10" s="1"/>
  <c r="AI70" i="10" s="1"/>
  <c r="V70" i="10"/>
  <c r="AF70" i="10" s="1"/>
  <c r="U70" i="10"/>
  <c r="T70" i="10"/>
  <c r="AD70" i="10" s="1"/>
  <c r="AP69" i="10"/>
  <c r="AM69" i="10"/>
  <c r="AC69" i="10"/>
  <c r="AK69" i="10" s="1"/>
  <c r="AL69" i="10" s="1"/>
  <c r="AB69" i="10"/>
  <c r="X69" i="10"/>
  <c r="Y69" i="10" s="1"/>
  <c r="AI69" i="10" s="1"/>
  <c r="V69" i="10"/>
  <c r="U69" i="10"/>
  <c r="T69" i="10"/>
  <c r="AD69" i="10" s="1"/>
  <c r="AP68" i="10"/>
  <c r="AM68" i="10"/>
  <c r="AC68" i="10"/>
  <c r="AK68" i="10" s="1"/>
  <c r="AL68" i="10" s="1"/>
  <c r="AB68" i="10"/>
  <c r="X68" i="10"/>
  <c r="AH68" i="10" s="1"/>
  <c r="V68" i="10"/>
  <c r="AF68" i="10" s="1"/>
  <c r="U68" i="10"/>
  <c r="T68" i="10"/>
  <c r="AD68" i="10" s="1"/>
  <c r="AP67" i="10"/>
  <c r="AM67" i="10"/>
  <c r="AC67" i="10"/>
  <c r="AK67" i="10" s="1"/>
  <c r="AL67" i="10" s="1"/>
  <c r="AB67" i="10"/>
  <c r="X67" i="10"/>
  <c r="V67" i="10"/>
  <c r="W67" i="10" s="1"/>
  <c r="AG67" i="10" s="1"/>
  <c r="U67" i="10"/>
  <c r="T67" i="10"/>
  <c r="AD67" i="10" s="1"/>
  <c r="AP66" i="10"/>
  <c r="AM66" i="10"/>
  <c r="AC66" i="10"/>
  <c r="AK66" i="10" s="1"/>
  <c r="AL66" i="10" s="1"/>
  <c r="AB66" i="10"/>
  <c r="X66" i="10"/>
  <c r="Y66" i="10" s="1"/>
  <c r="AI66" i="10" s="1"/>
  <c r="V66" i="10"/>
  <c r="W66" i="10" s="1"/>
  <c r="AG66" i="10" s="1"/>
  <c r="U66" i="10"/>
  <c r="T66" i="10"/>
  <c r="AD66" i="10" s="1"/>
  <c r="AP65" i="10"/>
  <c r="AM65" i="10"/>
  <c r="AC65" i="10"/>
  <c r="AK65" i="10" s="1"/>
  <c r="AL65" i="10" s="1"/>
  <c r="AB65" i="10"/>
  <c r="X65" i="10"/>
  <c r="Y65" i="10" s="1"/>
  <c r="AI65" i="10" s="1"/>
  <c r="V65" i="10"/>
  <c r="W65" i="10" s="1"/>
  <c r="AG65" i="10" s="1"/>
  <c r="U65" i="10"/>
  <c r="T65" i="10"/>
  <c r="AD65" i="10" s="1"/>
  <c r="AP64" i="10"/>
  <c r="AM64" i="10"/>
  <c r="AC64" i="10"/>
  <c r="AK64" i="10" s="1"/>
  <c r="AL64" i="10" s="1"/>
  <c r="AB64" i="10"/>
  <c r="X64" i="10"/>
  <c r="Y64" i="10" s="1"/>
  <c r="AI64" i="10" s="1"/>
  <c r="V64" i="10"/>
  <c r="AF64" i="10" s="1"/>
  <c r="U64" i="10"/>
  <c r="T64" i="10"/>
  <c r="AD64" i="10" s="1"/>
  <c r="AP63" i="10"/>
  <c r="AM63" i="10"/>
  <c r="AC63" i="10"/>
  <c r="AK63" i="10" s="1"/>
  <c r="AL63" i="10" s="1"/>
  <c r="AB63" i="10"/>
  <c r="X63" i="10"/>
  <c r="Y63" i="10" s="1"/>
  <c r="AI63" i="10" s="1"/>
  <c r="V63" i="10"/>
  <c r="W63" i="10" s="1"/>
  <c r="AG63" i="10" s="1"/>
  <c r="U63" i="10"/>
  <c r="T63" i="10"/>
  <c r="AD63" i="10" s="1"/>
  <c r="AP62" i="10"/>
  <c r="AM62" i="10"/>
  <c r="AC62" i="10"/>
  <c r="AK62" i="10" s="1"/>
  <c r="AL62" i="10" s="1"/>
  <c r="AB62" i="10"/>
  <c r="X62" i="10"/>
  <c r="Y62" i="10" s="1"/>
  <c r="AI62" i="10" s="1"/>
  <c r="V62" i="10"/>
  <c r="AF62" i="10" s="1"/>
  <c r="U62" i="10"/>
  <c r="T62" i="10"/>
  <c r="AD62" i="10" s="1"/>
  <c r="AP61" i="10"/>
  <c r="AM61" i="10"/>
  <c r="AC61" i="10"/>
  <c r="AK61" i="10" s="1"/>
  <c r="AL61" i="10" s="1"/>
  <c r="AB61" i="10"/>
  <c r="X61" i="10"/>
  <c r="AH61" i="10" s="1"/>
  <c r="V61" i="10"/>
  <c r="U61" i="10"/>
  <c r="T61" i="10"/>
  <c r="AD61" i="10" s="1"/>
  <c r="AP60" i="10"/>
  <c r="AM60" i="10"/>
  <c r="AC60" i="10"/>
  <c r="AK60" i="10" s="1"/>
  <c r="AL60" i="10" s="1"/>
  <c r="AB60" i="10"/>
  <c r="X60" i="10"/>
  <c r="Y60" i="10" s="1"/>
  <c r="AI60" i="10" s="1"/>
  <c r="V60" i="10"/>
  <c r="AF60" i="10" s="1"/>
  <c r="U60" i="10"/>
  <c r="T60" i="10"/>
  <c r="AD60" i="10" s="1"/>
  <c r="AP59" i="10"/>
  <c r="AM59" i="10"/>
  <c r="AC59" i="10"/>
  <c r="AK59" i="10" s="1"/>
  <c r="AL59" i="10" s="1"/>
  <c r="AB59" i="10"/>
  <c r="X59" i="10"/>
  <c r="V59" i="10"/>
  <c r="AF59" i="10" s="1"/>
  <c r="U59" i="10"/>
  <c r="T59" i="10"/>
  <c r="AD59" i="10" s="1"/>
  <c r="AP58" i="10"/>
  <c r="AM58" i="10"/>
  <c r="AC58" i="10"/>
  <c r="AK58" i="10" s="1"/>
  <c r="AL58" i="10" s="1"/>
  <c r="AB58" i="10"/>
  <c r="X58" i="10"/>
  <c r="Y58" i="10" s="1"/>
  <c r="AI58" i="10" s="1"/>
  <c r="V58" i="10"/>
  <c r="W58" i="10" s="1"/>
  <c r="AG58" i="10" s="1"/>
  <c r="U58" i="10"/>
  <c r="T58" i="10"/>
  <c r="AD58" i="10" s="1"/>
  <c r="AP57" i="10"/>
  <c r="AM57" i="10"/>
  <c r="AC57" i="10"/>
  <c r="AK57" i="10" s="1"/>
  <c r="AL57" i="10" s="1"/>
  <c r="AB57" i="10"/>
  <c r="X57" i="10"/>
  <c r="AH57" i="10" s="1"/>
  <c r="V57" i="10"/>
  <c r="AF57" i="10" s="1"/>
  <c r="U57" i="10"/>
  <c r="T57" i="10"/>
  <c r="AD57" i="10" s="1"/>
  <c r="AP56" i="10"/>
  <c r="AM56" i="10"/>
  <c r="AC56" i="10"/>
  <c r="AK56" i="10" s="1"/>
  <c r="AL56" i="10" s="1"/>
  <c r="AB56" i="10"/>
  <c r="X56" i="10"/>
  <c r="Y56" i="10" s="1"/>
  <c r="AI56" i="10" s="1"/>
  <c r="V56" i="10"/>
  <c r="AF56" i="10" s="1"/>
  <c r="U56" i="10"/>
  <c r="T56" i="10"/>
  <c r="AD56" i="10" s="1"/>
  <c r="AP55" i="10"/>
  <c r="AM55" i="10"/>
  <c r="AC55" i="10"/>
  <c r="AK55" i="10" s="1"/>
  <c r="AL55" i="10" s="1"/>
  <c r="AB55" i="10"/>
  <c r="X55" i="10"/>
  <c r="AH55" i="10" s="1"/>
  <c r="V55" i="10"/>
  <c r="W55" i="10" s="1"/>
  <c r="AG55" i="10" s="1"/>
  <c r="U55" i="10"/>
  <c r="T55" i="10"/>
  <c r="AD55" i="10" s="1"/>
  <c r="AP54" i="10"/>
  <c r="AM54" i="10"/>
  <c r="AC54" i="10"/>
  <c r="AK54" i="10" s="1"/>
  <c r="AL54" i="10" s="1"/>
  <c r="AB54" i="10"/>
  <c r="X54" i="10"/>
  <c r="AH54" i="10" s="1"/>
  <c r="V54" i="10"/>
  <c r="W54" i="10" s="1"/>
  <c r="AG54" i="10" s="1"/>
  <c r="U54" i="10"/>
  <c r="T54" i="10"/>
  <c r="AD54" i="10" s="1"/>
  <c r="AP53" i="10"/>
  <c r="AM53" i="10"/>
  <c r="AC53" i="10"/>
  <c r="AK53" i="10" s="1"/>
  <c r="AL53" i="10" s="1"/>
  <c r="AB53" i="10"/>
  <c r="X53" i="10"/>
  <c r="Y53" i="10" s="1"/>
  <c r="AI53" i="10" s="1"/>
  <c r="V53" i="10"/>
  <c r="U53" i="10"/>
  <c r="T53" i="10"/>
  <c r="AD53" i="10" s="1"/>
  <c r="AP52" i="10"/>
  <c r="AM52" i="10"/>
  <c r="AC52" i="10"/>
  <c r="AK52" i="10" s="1"/>
  <c r="AL52" i="10" s="1"/>
  <c r="AB52" i="10"/>
  <c r="X52" i="10"/>
  <c r="Y52" i="10" s="1"/>
  <c r="AI52" i="10" s="1"/>
  <c r="V52" i="10"/>
  <c r="AF52" i="10" s="1"/>
  <c r="U52" i="10"/>
  <c r="T52" i="10"/>
  <c r="AD52" i="10" s="1"/>
  <c r="AP51" i="10"/>
  <c r="AM51" i="10"/>
  <c r="AK51" i="10"/>
  <c r="AL51" i="10" s="1"/>
  <c r="AC51" i="10"/>
  <c r="AB51" i="10"/>
  <c r="X51" i="10"/>
  <c r="V51" i="10"/>
  <c r="AF51" i="10" s="1"/>
  <c r="U51" i="10"/>
  <c r="T51" i="10"/>
  <c r="AD51" i="10" s="1"/>
  <c r="AP50" i="10"/>
  <c r="AM50" i="10"/>
  <c r="AC50" i="10"/>
  <c r="AK50" i="10" s="1"/>
  <c r="AL50" i="10" s="1"/>
  <c r="AB50" i="10"/>
  <c r="X50" i="10"/>
  <c r="Y50" i="10" s="1"/>
  <c r="AI50" i="10" s="1"/>
  <c r="V50" i="10"/>
  <c r="U50" i="10"/>
  <c r="T50" i="10"/>
  <c r="AD50" i="10" s="1"/>
  <c r="AP49" i="10"/>
  <c r="AM49" i="10"/>
  <c r="AC49" i="10"/>
  <c r="AK49" i="10" s="1"/>
  <c r="AL49" i="10" s="1"/>
  <c r="AB49" i="10"/>
  <c r="X49" i="10"/>
  <c r="AH49" i="10" s="1"/>
  <c r="V49" i="10"/>
  <c r="AF49" i="10" s="1"/>
  <c r="U49" i="10"/>
  <c r="T49" i="10"/>
  <c r="AD49" i="10" s="1"/>
  <c r="AP48" i="10"/>
  <c r="AM48" i="10"/>
  <c r="AC48" i="10"/>
  <c r="AK48" i="10" s="1"/>
  <c r="AL48" i="10" s="1"/>
  <c r="AB48" i="10"/>
  <c r="X48" i="10"/>
  <c r="V48" i="10"/>
  <c r="AF48" i="10" s="1"/>
  <c r="U48" i="10"/>
  <c r="T48" i="10"/>
  <c r="AD48" i="10" s="1"/>
  <c r="AP47" i="10"/>
  <c r="AM47" i="10"/>
  <c r="AC47" i="10"/>
  <c r="AK47" i="10" s="1"/>
  <c r="AL47" i="10" s="1"/>
  <c r="AB47" i="10"/>
  <c r="X47" i="10"/>
  <c r="AH47" i="10" s="1"/>
  <c r="V47" i="10"/>
  <c r="W47" i="10" s="1"/>
  <c r="AG47" i="10" s="1"/>
  <c r="U47" i="10"/>
  <c r="T47" i="10"/>
  <c r="AD47" i="10" s="1"/>
  <c r="AP46" i="10"/>
  <c r="AM46" i="10"/>
  <c r="AC46" i="10"/>
  <c r="AK46" i="10" s="1"/>
  <c r="AL46" i="10" s="1"/>
  <c r="AB46" i="10"/>
  <c r="X46" i="10"/>
  <c r="AH46" i="10" s="1"/>
  <c r="V46" i="10"/>
  <c r="AF46" i="10" s="1"/>
  <c r="U46" i="10"/>
  <c r="T46" i="10"/>
  <c r="AD46" i="10" s="1"/>
  <c r="AP45" i="10"/>
  <c r="AM45" i="10"/>
  <c r="AC45" i="10"/>
  <c r="AK45" i="10" s="1"/>
  <c r="AL45" i="10" s="1"/>
  <c r="AB45" i="10"/>
  <c r="X45" i="10"/>
  <c r="Y45" i="10" s="1"/>
  <c r="AI45" i="10" s="1"/>
  <c r="V45" i="10"/>
  <c r="U45" i="10"/>
  <c r="T45" i="10"/>
  <c r="AD45" i="10" s="1"/>
  <c r="AP44" i="10"/>
  <c r="AM44" i="10"/>
  <c r="AC44" i="10"/>
  <c r="AK44" i="10" s="1"/>
  <c r="AL44" i="10" s="1"/>
  <c r="AB44" i="10"/>
  <c r="X44" i="10"/>
  <c r="AH44" i="10" s="1"/>
  <c r="V44" i="10"/>
  <c r="AF44" i="10" s="1"/>
  <c r="U44" i="10"/>
  <c r="T44" i="10"/>
  <c r="AD44" i="10" s="1"/>
  <c r="AP43" i="10"/>
  <c r="AM43" i="10"/>
  <c r="AC43" i="10"/>
  <c r="AK43" i="10" s="1"/>
  <c r="AL43" i="10" s="1"/>
  <c r="AB43" i="10"/>
  <c r="X43" i="10"/>
  <c r="V43" i="10"/>
  <c r="AF43" i="10" s="1"/>
  <c r="U43" i="10"/>
  <c r="T43" i="10"/>
  <c r="AD43" i="10" s="1"/>
  <c r="AP42" i="10"/>
  <c r="AM42" i="10"/>
  <c r="AC42" i="10"/>
  <c r="AK42" i="10" s="1"/>
  <c r="AL42" i="10" s="1"/>
  <c r="AB42" i="10"/>
  <c r="X42" i="10"/>
  <c r="AH42" i="10" s="1"/>
  <c r="V42" i="10"/>
  <c r="U42" i="10"/>
  <c r="T42" i="10"/>
  <c r="AD42" i="10" s="1"/>
  <c r="AP41" i="10"/>
  <c r="AM41" i="10"/>
  <c r="AC41" i="10"/>
  <c r="AK41" i="10" s="1"/>
  <c r="AL41" i="10" s="1"/>
  <c r="AB41" i="10"/>
  <c r="X41" i="10"/>
  <c r="Y41" i="10" s="1"/>
  <c r="AI41" i="10" s="1"/>
  <c r="V41" i="10"/>
  <c r="AF41" i="10" s="1"/>
  <c r="U41" i="10"/>
  <c r="T41" i="10"/>
  <c r="AD41" i="10" s="1"/>
  <c r="AP40" i="10"/>
  <c r="AM40" i="10"/>
  <c r="AC40" i="10"/>
  <c r="AK40" i="10" s="1"/>
  <c r="AL40" i="10" s="1"/>
  <c r="AB40" i="10"/>
  <c r="X40" i="10"/>
  <c r="V40" i="10"/>
  <c r="W40" i="10" s="1"/>
  <c r="AG40" i="10" s="1"/>
  <c r="U40" i="10"/>
  <c r="T40" i="10"/>
  <c r="AD40" i="10" s="1"/>
  <c r="AP39" i="10"/>
  <c r="AM39" i="10"/>
  <c r="AC39" i="10"/>
  <c r="AK39" i="10" s="1"/>
  <c r="AL39" i="10" s="1"/>
  <c r="AB39" i="10"/>
  <c r="X39" i="10"/>
  <c r="AH39" i="10" s="1"/>
  <c r="V39" i="10"/>
  <c r="W39" i="10" s="1"/>
  <c r="AG39" i="10" s="1"/>
  <c r="U39" i="10"/>
  <c r="T39" i="10"/>
  <c r="AD39" i="10" s="1"/>
  <c r="AP38" i="10"/>
  <c r="AM38" i="10"/>
  <c r="AC38" i="10"/>
  <c r="AK38" i="10" s="1"/>
  <c r="AL38" i="10" s="1"/>
  <c r="AB38" i="10"/>
  <c r="X38" i="10"/>
  <c r="AH38" i="10" s="1"/>
  <c r="V38" i="10"/>
  <c r="AF38" i="10" s="1"/>
  <c r="U38" i="10"/>
  <c r="T38" i="10"/>
  <c r="AD38" i="10" s="1"/>
  <c r="AP37" i="10"/>
  <c r="AM37" i="10"/>
  <c r="AC37" i="10"/>
  <c r="AK37" i="10" s="1"/>
  <c r="AL37" i="10" s="1"/>
  <c r="AB37" i="10"/>
  <c r="X37" i="10"/>
  <c r="Y37" i="10" s="1"/>
  <c r="AI37" i="10" s="1"/>
  <c r="V37" i="10"/>
  <c r="U37" i="10"/>
  <c r="T37" i="10"/>
  <c r="AD37" i="10" s="1"/>
  <c r="AP36" i="10"/>
  <c r="AM36" i="10"/>
  <c r="AC36" i="10"/>
  <c r="AK36" i="10" s="1"/>
  <c r="AL36" i="10" s="1"/>
  <c r="AB36" i="10"/>
  <c r="X36" i="10"/>
  <c r="Y36" i="10" s="1"/>
  <c r="AI36" i="10" s="1"/>
  <c r="V36" i="10"/>
  <c r="AF36" i="10" s="1"/>
  <c r="U36" i="10"/>
  <c r="T36" i="10"/>
  <c r="AD36" i="10" s="1"/>
  <c r="AP35" i="10"/>
  <c r="AM35" i="10"/>
  <c r="AC35" i="10"/>
  <c r="AK35" i="10" s="1"/>
  <c r="AL35" i="10" s="1"/>
  <c r="AB35" i="10"/>
  <c r="X35" i="10"/>
  <c r="V35" i="10"/>
  <c r="U35" i="10"/>
  <c r="T35" i="10"/>
  <c r="AD35" i="10" s="1"/>
  <c r="AP34" i="10"/>
  <c r="AM34" i="10"/>
  <c r="AC34" i="10"/>
  <c r="AK34" i="10" s="1"/>
  <c r="AL34" i="10" s="1"/>
  <c r="AB34" i="10"/>
  <c r="X34" i="10"/>
  <c r="AH34" i="10" s="1"/>
  <c r="V34" i="10"/>
  <c r="U34" i="10"/>
  <c r="T34" i="10"/>
  <c r="AD34" i="10" s="1"/>
  <c r="AP33" i="10"/>
  <c r="AM33" i="10"/>
  <c r="AC33" i="10"/>
  <c r="AK33" i="10" s="1"/>
  <c r="AL33" i="10" s="1"/>
  <c r="AB33" i="10"/>
  <c r="X33" i="10"/>
  <c r="Y33" i="10" s="1"/>
  <c r="AI33" i="10" s="1"/>
  <c r="V33" i="10"/>
  <c r="AF33" i="10" s="1"/>
  <c r="U33" i="10"/>
  <c r="T33" i="10"/>
  <c r="AD33" i="10" s="1"/>
  <c r="AP32" i="10"/>
  <c r="AM32" i="10"/>
  <c r="AC32" i="10"/>
  <c r="AK32" i="10" s="1"/>
  <c r="AL32" i="10" s="1"/>
  <c r="AB32" i="10"/>
  <c r="X32" i="10"/>
  <c r="V32" i="10"/>
  <c r="AF32" i="10" s="1"/>
  <c r="U32" i="10"/>
  <c r="T32" i="10"/>
  <c r="AD32" i="10" s="1"/>
  <c r="AP31" i="10"/>
  <c r="AM31" i="10"/>
  <c r="AK31" i="10"/>
  <c r="AL31" i="10" s="1"/>
  <c r="AC31" i="10"/>
  <c r="AB31" i="10"/>
  <c r="X31" i="10"/>
  <c r="V31" i="10"/>
  <c r="W31" i="10" s="1"/>
  <c r="AG31" i="10" s="1"/>
  <c r="U31" i="10"/>
  <c r="T31" i="10"/>
  <c r="AD31" i="10" s="1"/>
  <c r="AP30" i="10"/>
  <c r="AM30" i="10"/>
  <c r="AC30" i="10"/>
  <c r="AK30" i="10" s="1"/>
  <c r="AL30" i="10" s="1"/>
  <c r="AB30" i="10"/>
  <c r="X30" i="10"/>
  <c r="AH30" i="10" s="1"/>
  <c r="W30" i="10"/>
  <c r="AG30" i="10" s="1"/>
  <c r="V30" i="10"/>
  <c r="AF30" i="10" s="1"/>
  <c r="U30" i="10"/>
  <c r="T30" i="10"/>
  <c r="AD30" i="10" s="1"/>
  <c r="AP29" i="10"/>
  <c r="AM29" i="10"/>
  <c r="AC29" i="10"/>
  <c r="AK29" i="10" s="1"/>
  <c r="AL29" i="10" s="1"/>
  <c r="AB29" i="10"/>
  <c r="X29" i="10"/>
  <c r="Y29" i="10" s="1"/>
  <c r="AI29" i="10" s="1"/>
  <c r="V29" i="10"/>
  <c r="W29" i="10" s="1"/>
  <c r="AG29" i="10" s="1"/>
  <c r="U29" i="10"/>
  <c r="T29" i="10"/>
  <c r="AD29" i="10" s="1"/>
  <c r="AP28" i="10"/>
  <c r="AM28" i="10"/>
  <c r="AC28" i="10"/>
  <c r="AK28" i="10" s="1"/>
  <c r="AL28" i="10" s="1"/>
  <c r="AB28" i="10"/>
  <c r="X28" i="10"/>
  <c r="AH28" i="10" s="1"/>
  <c r="V28" i="10"/>
  <c r="AF28" i="10" s="1"/>
  <c r="U28" i="10"/>
  <c r="T28" i="10"/>
  <c r="AD28" i="10" s="1"/>
  <c r="AP27" i="10"/>
  <c r="AM27" i="10"/>
  <c r="AC27" i="10"/>
  <c r="AK27" i="10" s="1"/>
  <c r="AL27" i="10" s="1"/>
  <c r="AB27" i="10"/>
  <c r="X27" i="10"/>
  <c r="Y27" i="10" s="1"/>
  <c r="AI27" i="10" s="1"/>
  <c r="V27" i="10"/>
  <c r="W27" i="10" s="1"/>
  <c r="AG27" i="10" s="1"/>
  <c r="U27" i="10"/>
  <c r="T27" i="10"/>
  <c r="AD27" i="10" s="1"/>
  <c r="AP26" i="10"/>
  <c r="AM26" i="10"/>
  <c r="AC26" i="10"/>
  <c r="AK26" i="10" s="1"/>
  <c r="AL26" i="10" s="1"/>
  <c r="AB26" i="10"/>
  <c r="X26" i="10"/>
  <c r="AH26" i="10" s="1"/>
  <c r="V26" i="10"/>
  <c r="U26" i="10"/>
  <c r="T26" i="10"/>
  <c r="AD26" i="10" s="1"/>
  <c r="AP25" i="10"/>
  <c r="AM25" i="10"/>
  <c r="AC25" i="10"/>
  <c r="AK25" i="10" s="1"/>
  <c r="AL25" i="10" s="1"/>
  <c r="AB25" i="10"/>
  <c r="X25" i="10"/>
  <c r="Y25" i="10" s="1"/>
  <c r="AI25" i="10" s="1"/>
  <c r="V25" i="10"/>
  <c r="AF25" i="10" s="1"/>
  <c r="U25" i="10"/>
  <c r="T25" i="10"/>
  <c r="AD25" i="10" s="1"/>
  <c r="AP24" i="10"/>
  <c r="AM24" i="10"/>
  <c r="AC24" i="10"/>
  <c r="AK24" i="10" s="1"/>
  <c r="AL24" i="10" s="1"/>
  <c r="AB24" i="10"/>
  <c r="X24" i="10"/>
  <c r="V24" i="10"/>
  <c r="AF24" i="10" s="1"/>
  <c r="U24" i="10"/>
  <c r="T24" i="10"/>
  <c r="AD24" i="10" s="1"/>
  <c r="AP23" i="10"/>
  <c r="AM23" i="10"/>
  <c r="AC23" i="10"/>
  <c r="AK23" i="10" s="1"/>
  <c r="AL23" i="10" s="1"/>
  <c r="AB23" i="10"/>
  <c r="X23" i="10"/>
  <c r="AH23" i="10" s="1"/>
  <c r="V23" i="10"/>
  <c r="W23" i="10" s="1"/>
  <c r="AG23" i="10" s="1"/>
  <c r="U23" i="10"/>
  <c r="T23" i="10"/>
  <c r="AD23" i="10" s="1"/>
  <c r="AP22" i="10"/>
  <c r="AM22" i="10"/>
  <c r="AC22" i="10"/>
  <c r="AK22" i="10" s="1"/>
  <c r="AL22" i="10" s="1"/>
  <c r="AB22" i="10"/>
  <c r="X22" i="10"/>
  <c r="AH22" i="10" s="1"/>
  <c r="V22" i="10"/>
  <c r="AF22" i="10" s="1"/>
  <c r="U22" i="10"/>
  <c r="T22" i="10"/>
  <c r="AD22" i="10" s="1"/>
  <c r="AP21" i="10"/>
  <c r="AM21" i="10"/>
  <c r="AC21" i="10"/>
  <c r="AK21" i="10" s="1"/>
  <c r="AL21" i="10" s="1"/>
  <c r="AB21" i="10"/>
  <c r="X21" i="10"/>
  <c r="Y21" i="10" s="1"/>
  <c r="AI21" i="10" s="1"/>
  <c r="V21" i="10"/>
  <c r="W21" i="10" s="1"/>
  <c r="AG21" i="10" s="1"/>
  <c r="U21" i="10"/>
  <c r="T21" i="10"/>
  <c r="AD21" i="10" s="1"/>
  <c r="AP20" i="10"/>
  <c r="AM20" i="10"/>
  <c r="AC20" i="10"/>
  <c r="AK20" i="10" s="1"/>
  <c r="AL20" i="10" s="1"/>
  <c r="AB20" i="10"/>
  <c r="X20" i="10"/>
  <c r="AH20" i="10" s="1"/>
  <c r="V20" i="10"/>
  <c r="AF20" i="10" s="1"/>
  <c r="U20" i="10"/>
  <c r="T20" i="10"/>
  <c r="AD20" i="10" s="1"/>
  <c r="AP19" i="10"/>
  <c r="AM19" i="10"/>
  <c r="AC19" i="10"/>
  <c r="AK19" i="10" s="1"/>
  <c r="AL19" i="10" s="1"/>
  <c r="AB19" i="10"/>
  <c r="X19" i="10"/>
  <c r="Y19" i="10" s="1"/>
  <c r="AI19" i="10" s="1"/>
  <c r="V19" i="10"/>
  <c r="W19" i="10" s="1"/>
  <c r="AG19" i="10" s="1"/>
  <c r="U19" i="10"/>
  <c r="T19" i="10"/>
  <c r="AD19" i="10" s="1"/>
  <c r="AP18" i="10"/>
  <c r="AM18" i="10"/>
  <c r="AC18" i="10"/>
  <c r="AK18" i="10" s="1"/>
  <c r="AL18" i="10" s="1"/>
  <c r="AB18" i="10"/>
  <c r="X18" i="10"/>
  <c r="Y18" i="10" s="1"/>
  <c r="AI18" i="10" s="1"/>
  <c r="V18" i="10"/>
  <c r="U18" i="10"/>
  <c r="T18" i="10"/>
  <c r="AD18" i="10" s="1"/>
  <c r="AP17" i="10"/>
  <c r="AM17" i="10"/>
  <c r="AC17" i="10"/>
  <c r="AK17" i="10" s="1"/>
  <c r="AL17" i="10" s="1"/>
  <c r="AB17" i="10"/>
  <c r="X17" i="10"/>
  <c r="Y17" i="10" s="1"/>
  <c r="AI17" i="10" s="1"/>
  <c r="V17" i="10"/>
  <c r="AF17" i="10" s="1"/>
  <c r="U17" i="10"/>
  <c r="T17" i="10"/>
  <c r="AD17" i="10" s="1"/>
  <c r="AP16" i="10"/>
  <c r="AM16" i="10"/>
  <c r="AC16" i="10"/>
  <c r="AK16" i="10" s="1"/>
  <c r="AL16" i="10" s="1"/>
  <c r="AB16" i="10"/>
  <c r="X16" i="10"/>
  <c r="V16" i="10"/>
  <c r="AF16" i="10" s="1"/>
  <c r="U16" i="10"/>
  <c r="T16" i="10"/>
  <c r="AD16" i="10" s="1"/>
  <c r="AP15" i="10"/>
  <c r="AM15" i="10"/>
  <c r="AC15" i="10"/>
  <c r="AK15" i="10" s="1"/>
  <c r="AL15" i="10" s="1"/>
  <c r="AB15" i="10"/>
  <c r="X15" i="10"/>
  <c r="AH15" i="10" s="1"/>
  <c r="V15" i="10"/>
  <c r="W15" i="10" s="1"/>
  <c r="AG15" i="10" s="1"/>
  <c r="U15" i="10"/>
  <c r="T15" i="10"/>
  <c r="AD15" i="10" s="1"/>
  <c r="AP14" i="10"/>
  <c r="AM14" i="10"/>
  <c r="AC14" i="10"/>
  <c r="AK14" i="10" s="1"/>
  <c r="AL14" i="10" s="1"/>
  <c r="AB14" i="10"/>
  <c r="X14" i="10"/>
  <c r="AH14" i="10" s="1"/>
  <c r="V14" i="10"/>
  <c r="AF14" i="10" s="1"/>
  <c r="U14" i="10"/>
  <c r="T14" i="10"/>
  <c r="AD14" i="10" s="1"/>
  <c r="AP13" i="10"/>
  <c r="AM13" i="10"/>
  <c r="AC13" i="10"/>
  <c r="AK13" i="10" s="1"/>
  <c r="AL13" i="10" s="1"/>
  <c r="AB13" i="10"/>
  <c r="X13" i="10"/>
  <c r="Y13" i="10" s="1"/>
  <c r="AI13" i="10" s="1"/>
  <c r="V13" i="10"/>
  <c r="W13" i="10" s="1"/>
  <c r="AG13" i="10" s="1"/>
  <c r="U13" i="10"/>
  <c r="T13" i="10"/>
  <c r="AD13" i="10" s="1"/>
  <c r="AP12" i="10"/>
  <c r="AM12" i="10"/>
  <c r="AC12" i="10"/>
  <c r="AK12" i="10" s="1"/>
  <c r="AL12" i="10" s="1"/>
  <c r="AB12" i="10"/>
  <c r="X12" i="10"/>
  <c r="AH12" i="10" s="1"/>
  <c r="V12" i="10"/>
  <c r="AF12" i="10" s="1"/>
  <c r="U12" i="10"/>
  <c r="T12" i="10"/>
  <c r="AD12" i="10" s="1"/>
  <c r="AP11" i="10"/>
  <c r="AM11" i="10"/>
  <c r="AC11" i="10"/>
  <c r="AK11" i="10" s="1"/>
  <c r="AL11" i="10" s="1"/>
  <c r="AB11" i="10"/>
  <c r="X11" i="10"/>
  <c r="Y11" i="10" s="1"/>
  <c r="AI11" i="10" s="1"/>
  <c r="V11" i="10"/>
  <c r="W11" i="10" s="1"/>
  <c r="AG11" i="10" s="1"/>
  <c r="U11" i="10"/>
  <c r="T11" i="10"/>
  <c r="AD11" i="10" s="1"/>
  <c r="AP10" i="10"/>
  <c r="AM10" i="10"/>
  <c r="AC10" i="10"/>
  <c r="AK10" i="10" s="1"/>
  <c r="AL10" i="10" s="1"/>
  <c r="AB10" i="10"/>
  <c r="X10" i="10"/>
  <c r="AH10" i="10" s="1"/>
  <c r="V10" i="10"/>
  <c r="U10" i="10"/>
  <c r="T10" i="10"/>
  <c r="AD10" i="10" s="1"/>
  <c r="AP9" i="10"/>
  <c r="AM9" i="10"/>
  <c r="AC9" i="10"/>
  <c r="AK9" i="10" s="1"/>
  <c r="AL9" i="10" s="1"/>
  <c r="AB9" i="10"/>
  <c r="X9" i="10"/>
  <c r="Y9" i="10" s="1"/>
  <c r="AI9" i="10" s="1"/>
  <c r="V9" i="10"/>
  <c r="U9" i="10"/>
  <c r="T9" i="10"/>
  <c r="AD9" i="10" s="1"/>
  <c r="AP8" i="10"/>
  <c r="AM8" i="10"/>
  <c r="AC8" i="10"/>
  <c r="AK8" i="10" s="1"/>
  <c r="AL8" i="10" s="1"/>
  <c r="AB8" i="10"/>
  <c r="X8" i="10"/>
  <c r="V8" i="10"/>
  <c r="AF8" i="10" s="1"/>
  <c r="U8" i="10"/>
  <c r="T8" i="10"/>
  <c r="AD8" i="10" s="1"/>
  <c r="AP7" i="10"/>
  <c r="AM7" i="10"/>
  <c r="AC7" i="10"/>
  <c r="AK7" i="10" s="1"/>
  <c r="AL7" i="10" s="1"/>
  <c r="AB7" i="10"/>
  <c r="X7" i="10"/>
  <c r="AH7" i="10" s="1"/>
  <c r="V7" i="10"/>
  <c r="W7" i="10" s="1"/>
  <c r="AG7" i="10" s="1"/>
  <c r="U7" i="10"/>
  <c r="T7" i="10"/>
  <c r="AD7" i="10" s="1"/>
  <c r="AP6" i="10"/>
  <c r="AM6" i="10"/>
  <c r="AC6" i="10"/>
  <c r="AB6" i="10"/>
  <c r="X6" i="10"/>
  <c r="Y6" i="10" s="1"/>
  <c r="AI6" i="10" s="1"/>
  <c r="V6" i="10"/>
  <c r="W6" i="10" s="1"/>
  <c r="AG6" i="10" s="1"/>
  <c r="U6" i="10"/>
  <c r="T6" i="10"/>
  <c r="AD6" i="10" s="1"/>
  <c r="AP5" i="10"/>
  <c r="AM5" i="10"/>
  <c r="AC5" i="10"/>
  <c r="AB5" i="10"/>
  <c r="X5" i="10"/>
  <c r="Y5" i="10" s="1"/>
  <c r="AI5" i="10" s="1"/>
  <c r="V5" i="10"/>
  <c r="W5" i="10" s="1"/>
  <c r="AG5" i="10" s="1"/>
  <c r="U5" i="10"/>
  <c r="T5" i="10"/>
  <c r="AD5" i="10" s="1"/>
  <c r="AP4" i="10"/>
  <c r="AM4" i="10"/>
  <c r="AC4" i="10"/>
  <c r="AB4" i="10"/>
  <c r="X4" i="10"/>
  <c r="Y4" i="10" s="1"/>
  <c r="AI4" i="10" s="1"/>
  <c r="V4" i="10"/>
  <c r="AF4" i="10" s="1"/>
  <c r="U4" i="10"/>
  <c r="T4" i="10"/>
  <c r="AD4" i="10" s="1"/>
  <c r="AJ103" i="22"/>
  <c r="AP102" i="22"/>
  <c r="AM102" i="22"/>
  <c r="AJ102" i="22"/>
  <c r="AC102" i="22"/>
  <c r="AB102" i="22"/>
  <c r="U102" i="22"/>
  <c r="T102" i="22"/>
  <c r="AD102" i="22" s="1"/>
  <c r="AP101" i="22"/>
  <c r="AM101" i="22"/>
  <c r="AJ101" i="22"/>
  <c r="AC101" i="22"/>
  <c r="AB101" i="22"/>
  <c r="U101" i="22"/>
  <c r="T101" i="22"/>
  <c r="AD101" i="22" s="1"/>
  <c r="AP100" i="22"/>
  <c r="AM100" i="22"/>
  <c r="AJ100" i="22"/>
  <c r="AC100" i="22"/>
  <c r="AB100" i="22"/>
  <c r="U100" i="22"/>
  <c r="T100" i="22"/>
  <c r="AD100" i="22" s="1"/>
  <c r="AP99" i="22"/>
  <c r="AM99" i="22"/>
  <c r="AJ99" i="22"/>
  <c r="AC99" i="22"/>
  <c r="AB99" i="22"/>
  <c r="U99" i="22"/>
  <c r="T99" i="22"/>
  <c r="AD99" i="22" s="1"/>
  <c r="AP98" i="22"/>
  <c r="AM98" i="22"/>
  <c r="AJ98" i="22"/>
  <c r="AC98" i="22"/>
  <c r="AB98" i="22"/>
  <c r="U98" i="22"/>
  <c r="T98" i="22"/>
  <c r="AD98" i="22" s="1"/>
  <c r="AP97" i="22"/>
  <c r="AM97" i="22"/>
  <c r="AJ97" i="22"/>
  <c r="AC97" i="22"/>
  <c r="AB97" i="22"/>
  <c r="U97" i="22"/>
  <c r="T97" i="22"/>
  <c r="AD97" i="22" s="1"/>
  <c r="AP96" i="22"/>
  <c r="AM96" i="22"/>
  <c r="AJ96" i="22"/>
  <c r="AC96" i="22"/>
  <c r="AB96" i="22"/>
  <c r="U96" i="22"/>
  <c r="T96" i="22"/>
  <c r="AD96" i="22" s="1"/>
  <c r="AP95" i="22"/>
  <c r="AM95" i="22"/>
  <c r="AJ95" i="22"/>
  <c r="AC95" i="22"/>
  <c r="AB95" i="22"/>
  <c r="U95" i="22"/>
  <c r="T95" i="22"/>
  <c r="AD95" i="22" s="1"/>
  <c r="AP94" i="22"/>
  <c r="AM94" i="22"/>
  <c r="AJ94" i="22"/>
  <c r="AC94" i="22"/>
  <c r="AB94" i="22"/>
  <c r="U94" i="22"/>
  <c r="AE94" i="22" s="1"/>
  <c r="T94" i="22"/>
  <c r="AD94" i="22" s="1"/>
  <c r="AP93" i="22"/>
  <c r="AM93" i="22"/>
  <c r="AJ93" i="22"/>
  <c r="AC93" i="22"/>
  <c r="AB93" i="22"/>
  <c r="U93" i="22"/>
  <c r="AE93" i="22" s="1"/>
  <c r="T93" i="22"/>
  <c r="AD93" i="22" s="1"/>
  <c r="AP92" i="22"/>
  <c r="AM92" i="22"/>
  <c r="AJ92" i="22"/>
  <c r="AC92" i="22"/>
  <c r="AB92" i="22"/>
  <c r="U92" i="22"/>
  <c r="T92" i="22"/>
  <c r="AD92" i="22" s="1"/>
  <c r="AP91" i="22"/>
  <c r="AM91" i="22"/>
  <c r="AJ91" i="22"/>
  <c r="AC91" i="22"/>
  <c r="AB91" i="22"/>
  <c r="U91" i="22"/>
  <c r="T91" i="22"/>
  <c r="AD91" i="22" s="1"/>
  <c r="AP90" i="22"/>
  <c r="AM90" i="22"/>
  <c r="AJ90" i="22"/>
  <c r="AC90" i="22"/>
  <c r="AB90" i="22"/>
  <c r="U90" i="22"/>
  <c r="T90" i="22"/>
  <c r="AD90" i="22" s="1"/>
  <c r="AP89" i="22"/>
  <c r="AM89" i="22"/>
  <c r="AJ89" i="22"/>
  <c r="AC89" i="22"/>
  <c r="AB89" i="22"/>
  <c r="U89" i="22"/>
  <c r="T89" i="22"/>
  <c r="AD89" i="22" s="1"/>
  <c r="AP88" i="22"/>
  <c r="AM88" i="22"/>
  <c r="AJ88" i="22"/>
  <c r="AC88" i="22"/>
  <c r="AB88" i="22"/>
  <c r="U88" i="22"/>
  <c r="T88" i="22"/>
  <c r="AD88" i="22" s="1"/>
  <c r="AP87" i="22"/>
  <c r="AM87" i="22"/>
  <c r="AJ87" i="22"/>
  <c r="AC87" i="22"/>
  <c r="AB87" i="22"/>
  <c r="U87" i="22"/>
  <c r="T87" i="22"/>
  <c r="AD87" i="22" s="1"/>
  <c r="AP86" i="22"/>
  <c r="AM86" i="22"/>
  <c r="AJ86" i="22"/>
  <c r="AC86" i="22"/>
  <c r="AB86" i="22"/>
  <c r="U86" i="22"/>
  <c r="T86" i="22"/>
  <c r="AD86" i="22" s="1"/>
  <c r="AP85" i="22"/>
  <c r="AM85" i="22"/>
  <c r="AJ85" i="22"/>
  <c r="AC85" i="22"/>
  <c r="AB85" i="22"/>
  <c r="U85" i="22"/>
  <c r="AE85" i="22" s="1"/>
  <c r="T85" i="22"/>
  <c r="AD85" i="22" s="1"/>
  <c r="AP84" i="22"/>
  <c r="AM84" i="22"/>
  <c r="AJ84" i="22"/>
  <c r="AC84" i="22"/>
  <c r="AB84" i="22"/>
  <c r="U84" i="22"/>
  <c r="T84" i="22"/>
  <c r="AD84" i="22" s="1"/>
  <c r="AP83" i="22"/>
  <c r="AM83" i="22"/>
  <c r="AJ83" i="22"/>
  <c r="AC83" i="22"/>
  <c r="AB83" i="22"/>
  <c r="U83" i="22"/>
  <c r="T83" i="22"/>
  <c r="AD83" i="22" s="1"/>
  <c r="AP82" i="22"/>
  <c r="AM82" i="22"/>
  <c r="AJ82" i="22"/>
  <c r="AC82" i="22"/>
  <c r="AB82" i="22"/>
  <c r="U82" i="22"/>
  <c r="T82" i="22"/>
  <c r="AD82" i="22" s="1"/>
  <c r="AP81" i="22"/>
  <c r="AM81" i="22"/>
  <c r="AJ81" i="22"/>
  <c r="AC81" i="22"/>
  <c r="AB81" i="22"/>
  <c r="U81" i="22"/>
  <c r="T81" i="22"/>
  <c r="AD81" i="22" s="1"/>
  <c r="AP80" i="22"/>
  <c r="AM80" i="22"/>
  <c r="AJ80" i="22"/>
  <c r="AC80" i="22"/>
  <c r="AB80" i="22"/>
  <c r="U80" i="22"/>
  <c r="T80" i="22"/>
  <c r="AD80" i="22" s="1"/>
  <c r="AP79" i="22"/>
  <c r="AM79" i="22"/>
  <c r="AJ79" i="22"/>
  <c r="AC79" i="22"/>
  <c r="AB79" i="22"/>
  <c r="U79" i="22"/>
  <c r="T79" i="22"/>
  <c r="AD79" i="22" s="1"/>
  <c r="AP78" i="22"/>
  <c r="AM78" i="22"/>
  <c r="AJ78" i="22"/>
  <c r="AC78" i="22"/>
  <c r="AB78" i="22"/>
  <c r="U78" i="22"/>
  <c r="T78" i="22"/>
  <c r="AD78" i="22" s="1"/>
  <c r="AP77" i="22"/>
  <c r="AM77" i="22"/>
  <c r="AJ77" i="22"/>
  <c r="AC77" i="22"/>
  <c r="AB77" i="22"/>
  <c r="U77" i="22"/>
  <c r="T77" i="22"/>
  <c r="AD77" i="22" s="1"/>
  <c r="AP76" i="22"/>
  <c r="AM76" i="22"/>
  <c r="AJ76" i="22"/>
  <c r="AC76" i="22"/>
  <c r="AB76" i="22"/>
  <c r="U76" i="22"/>
  <c r="T76" i="22"/>
  <c r="AD76" i="22" s="1"/>
  <c r="AP75" i="22"/>
  <c r="AM75" i="22"/>
  <c r="AJ75" i="22"/>
  <c r="AC75" i="22"/>
  <c r="AB75" i="22"/>
  <c r="U75" i="22"/>
  <c r="T75" i="22"/>
  <c r="AD75" i="22" s="1"/>
  <c r="AP74" i="22"/>
  <c r="AM74" i="22"/>
  <c r="AJ74" i="22"/>
  <c r="AC74" i="22"/>
  <c r="AB74" i="22"/>
  <c r="U74" i="22"/>
  <c r="T74" i="22"/>
  <c r="AD74" i="22" s="1"/>
  <c r="AP73" i="22"/>
  <c r="AM73" i="22"/>
  <c r="AJ73" i="22"/>
  <c r="AC73" i="22"/>
  <c r="AB73" i="22"/>
  <c r="U73" i="22"/>
  <c r="T73" i="22"/>
  <c r="AD73" i="22" s="1"/>
  <c r="AP72" i="22"/>
  <c r="AM72" i="22"/>
  <c r="AJ72" i="22"/>
  <c r="AC72" i="22"/>
  <c r="AB72" i="22"/>
  <c r="U72" i="22"/>
  <c r="T72" i="22"/>
  <c r="AD72" i="22" s="1"/>
  <c r="AP71" i="22"/>
  <c r="AM71" i="22"/>
  <c r="AJ71" i="22"/>
  <c r="AC71" i="22"/>
  <c r="AB71" i="22"/>
  <c r="U71" i="22"/>
  <c r="T71" i="22"/>
  <c r="AD71" i="22" s="1"/>
  <c r="AP70" i="22"/>
  <c r="AM70" i="22"/>
  <c r="AJ70" i="22"/>
  <c r="AC70" i="22"/>
  <c r="AB70" i="22"/>
  <c r="U70" i="22"/>
  <c r="T70" i="22"/>
  <c r="AD70" i="22" s="1"/>
  <c r="AP69" i="22"/>
  <c r="AM69" i="22"/>
  <c r="AJ69" i="22"/>
  <c r="AC69" i="22"/>
  <c r="AB69" i="22"/>
  <c r="U69" i="22"/>
  <c r="T69" i="22"/>
  <c r="AD69" i="22" s="1"/>
  <c r="AP68" i="22"/>
  <c r="AM68" i="22"/>
  <c r="AJ68" i="22"/>
  <c r="AC68" i="22"/>
  <c r="AB68" i="22"/>
  <c r="U68" i="22"/>
  <c r="T68" i="22"/>
  <c r="AD68" i="22" s="1"/>
  <c r="AP67" i="22"/>
  <c r="AM67" i="22"/>
  <c r="AJ67" i="22"/>
  <c r="AC67" i="22"/>
  <c r="AB67" i="22"/>
  <c r="U67" i="22"/>
  <c r="T67" i="22"/>
  <c r="AD67" i="22" s="1"/>
  <c r="AP66" i="22"/>
  <c r="AM66" i="22"/>
  <c r="AJ66" i="22"/>
  <c r="AC66" i="22"/>
  <c r="AB66" i="22"/>
  <c r="U66" i="22"/>
  <c r="T66" i="22"/>
  <c r="AD66" i="22" s="1"/>
  <c r="AP65" i="22"/>
  <c r="AM65" i="22"/>
  <c r="AJ65" i="22"/>
  <c r="AC65" i="22"/>
  <c r="AB65" i="22"/>
  <c r="U65" i="22"/>
  <c r="T65" i="22"/>
  <c r="AD65" i="22" s="1"/>
  <c r="AP64" i="22"/>
  <c r="AM64" i="22"/>
  <c r="AJ64" i="22"/>
  <c r="AC64" i="22"/>
  <c r="AB64" i="22"/>
  <c r="U64" i="22"/>
  <c r="T64" i="22"/>
  <c r="AD64" i="22" s="1"/>
  <c r="AP63" i="22"/>
  <c r="AM63" i="22"/>
  <c r="AJ63" i="22"/>
  <c r="AC63" i="22"/>
  <c r="AB63" i="22"/>
  <c r="U63" i="22"/>
  <c r="T63" i="22"/>
  <c r="AD63" i="22" s="1"/>
  <c r="AP62" i="22"/>
  <c r="AM62" i="22"/>
  <c r="AJ62" i="22"/>
  <c r="AC62" i="22"/>
  <c r="AB62" i="22"/>
  <c r="U62" i="22"/>
  <c r="T62" i="22"/>
  <c r="AD62" i="22" s="1"/>
  <c r="AP61" i="22"/>
  <c r="AM61" i="22"/>
  <c r="AJ61" i="22"/>
  <c r="AC61" i="22"/>
  <c r="AB61" i="22"/>
  <c r="U61" i="22"/>
  <c r="T61" i="22"/>
  <c r="AD61" i="22" s="1"/>
  <c r="AP60" i="22"/>
  <c r="AM60" i="22"/>
  <c r="AJ60" i="22"/>
  <c r="AC60" i="22"/>
  <c r="AB60" i="22"/>
  <c r="U60" i="22"/>
  <c r="T60" i="22"/>
  <c r="AD60" i="22" s="1"/>
  <c r="AP59" i="22"/>
  <c r="AM59" i="22"/>
  <c r="AJ59" i="22"/>
  <c r="AC59" i="22"/>
  <c r="AB59" i="22"/>
  <c r="U59" i="22"/>
  <c r="T59" i="22"/>
  <c r="AD59" i="22" s="1"/>
  <c r="AP58" i="22"/>
  <c r="AM58" i="22"/>
  <c r="AJ58" i="22"/>
  <c r="AC58" i="22"/>
  <c r="AB58" i="22"/>
  <c r="U58" i="22"/>
  <c r="T58" i="22"/>
  <c r="AD58" i="22" s="1"/>
  <c r="AP57" i="22"/>
  <c r="AM57" i="22"/>
  <c r="AJ57" i="22"/>
  <c r="AC57" i="22"/>
  <c r="AB57" i="22"/>
  <c r="U57" i="22"/>
  <c r="T57" i="22"/>
  <c r="AD57" i="22" s="1"/>
  <c r="AP56" i="22"/>
  <c r="AM56" i="22"/>
  <c r="AJ56" i="22"/>
  <c r="AC56" i="22"/>
  <c r="AB56" i="22"/>
  <c r="U56" i="22"/>
  <c r="T56" i="22"/>
  <c r="AD56" i="22" s="1"/>
  <c r="AP55" i="22"/>
  <c r="AM55" i="22"/>
  <c r="AJ55" i="22"/>
  <c r="AC55" i="22"/>
  <c r="AB55" i="22"/>
  <c r="U55" i="22"/>
  <c r="T55" i="22"/>
  <c r="AD55" i="22" s="1"/>
  <c r="AP54" i="22"/>
  <c r="AM54" i="22"/>
  <c r="AJ54" i="22"/>
  <c r="AC54" i="22"/>
  <c r="AB54" i="22"/>
  <c r="U54" i="22"/>
  <c r="T54" i="22"/>
  <c r="AD54" i="22" s="1"/>
  <c r="AP53" i="22"/>
  <c r="AM53" i="22"/>
  <c r="AJ53" i="22"/>
  <c r="AC53" i="22"/>
  <c r="AB53" i="22"/>
  <c r="U53" i="22"/>
  <c r="T53" i="22"/>
  <c r="AD53" i="22" s="1"/>
  <c r="AP52" i="22"/>
  <c r="AM52" i="22"/>
  <c r="AJ52" i="22"/>
  <c r="AC52" i="22"/>
  <c r="AB52" i="22"/>
  <c r="U52" i="22"/>
  <c r="T52" i="22"/>
  <c r="AD52" i="22" s="1"/>
  <c r="AP51" i="22"/>
  <c r="AM51" i="22"/>
  <c r="AJ51" i="22"/>
  <c r="AC51" i="22"/>
  <c r="AB51" i="22"/>
  <c r="U51" i="22"/>
  <c r="T51" i="22"/>
  <c r="AD51" i="22" s="1"/>
  <c r="AP50" i="22"/>
  <c r="AM50" i="22"/>
  <c r="AJ50" i="22"/>
  <c r="AC50" i="22"/>
  <c r="AB50" i="22"/>
  <c r="U50" i="22"/>
  <c r="T50" i="22"/>
  <c r="AD50" i="22" s="1"/>
  <c r="AP49" i="22"/>
  <c r="AM49" i="22"/>
  <c r="AJ49" i="22"/>
  <c r="AC49" i="22"/>
  <c r="AB49" i="22"/>
  <c r="U49" i="22"/>
  <c r="T49" i="22"/>
  <c r="AD49" i="22" s="1"/>
  <c r="AP48" i="22"/>
  <c r="AM48" i="22"/>
  <c r="AJ48" i="22"/>
  <c r="AC48" i="22"/>
  <c r="AB48" i="22"/>
  <c r="U48" i="22"/>
  <c r="T48" i="22"/>
  <c r="AD48" i="22" s="1"/>
  <c r="AP47" i="22"/>
  <c r="AM47" i="22"/>
  <c r="AJ47" i="22"/>
  <c r="AC47" i="22"/>
  <c r="AB47" i="22"/>
  <c r="U47" i="22"/>
  <c r="T47" i="22"/>
  <c r="AD47" i="22" s="1"/>
  <c r="AP46" i="22"/>
  <c r="AM46" i="22"/>
  <c r="AJ46" i="22"/>
  <c r="AC46" i="22"/>
  <c r="AB46" i="22"/>
  <c r="U46" i="22"/>
  <c r="T46" i="22"/>
  <c r="AD46" i="22" s="1"/>
  <c r="AP45" i="22"/>
  <c r="AM45" i="22"/>
  <c r="AJ45" i="22"/>
  <c r="AC45" i="22"/>
  <c r="AB45" i="22"/>
  <c r="U45" i="22"/>
  <c r="T45" i="22"/>
  <c r="AD45" i="22" s="1"/>
  <c r="AP44" i="22"/>
  <c r="AM44" i="22"/>
  <c r="AJ44" i="22"/>
  <c r="AC44" i="22"/>
  <c r="AB44" i="22"/>
  <c r="U44" i="22"/>
  <c r="T44" i="22"/>
  <c r="AD44" i="22" s="1"/>
  <c r="AP43" i="22"/>
  <c r="AM43" i="22"/>
  <c r="AJ43" i="22"/>
  <c r="AC43" i="22"/>
  <c r="AB43" i="22"/>
  <c r="U43" i="22"/>
  <c r="T43" i="22"/>
  <c r="AD43" i="22" s="1"/>
  <c r="AP42" i="22"/>
  <c r="AM42" i="22"/>
  <c r="AJ42" i="22"/>
  <c r="AC42" i="22"/>
  <c r="AB42" i="22"/>
  <c r="U42" i="22"/>
  <c r="T42" i="22"/>
  <c r="AD42" i="22" s="1"/>
  <c r="AP41" i="22"/>
  <c r="AM41" i="22"/>
  <c r="AJ41" i="22"/>
  <c r="AC41" i="22"/>
  <c r="AB41" i="22"/>
  <c r="U41" i="22"/>
  <c r="T41" i="22"/>
  <c r="AD41" i="22" s="1"/>
  <c r="AP40" i="22"/>
  <c r="AM40" i="22"/>
  <c r="AJ40" i="22"/>
  <c r="AC40" i="22"/>
  <c r="AB40" i="22"/>
  <c r="U40" i="22"/>
  <c r="T40" i="22"/>
  <c r="AD40" i="22" s="1"/>
  <c r="AP39" i="22"/>
  <c r="AM39" i="22"/>
  <c r="AJ39" i="22"/>
  <c r="AC39" i="22"/>
  <c r="AB39" i="22"/>
  <c r="U39" i="22"/>
  <c r="T39" i="22"/>
  <c r="AD39" i="22" s="1"/>
  <c r="AP38" i="22"/>
  <c r="AM38" i="22"/>
  <c r="AJ38" i="22"/>
  <c r="AC38" i="22"/>
  <c r="AB38" i="22"/>
  <c r="U38" i="22"/>
  <c r="T38" i="22"/>
  <c r="AD38" i="22" s="1"/>
  <c r="AP37" i="22"/>
  <c r="AM37" i="22"/>
  <c r="AJ37" i="22"/>
  <c r="AC37" i="22"/>
  <c r="AB37" i="22"/>
  <c r="U37" i="22"/>
  <c r="T37" i="22"/>
  <c r="AD37" i="22" s="1"/>
  <c r="AP36" i="22"/>
  <c r="AM36" i="22"/>
  <c r="AJ36" i="22"/>
  <c r="AC36" i="22"/>
  <c r="AB36" i="22"/>
  <c r="U36" i="22"/>
  <c r="T36" i="22"/>
  <c r="AD36" i="22" s="1"/>
  <c r="AP35" i="22"/>
  <c r="AM35" i="22"/>
  <c r="AJ35" i="22"/>
  <c r="AC35" i="22"/>
  <c r="AB35" i="22"/>
  <c r="U35" i="22"/>
  <c r="T35" i="22"/>
  <c r="AD35" i="22" s="1"/>
  <c r="AP34" i="22"/>
  <c r="AM34" i="22"/>
  <c r="AJ34" i="22"/>
  <c r="AC34" i="22"/>
  <c r="AB34" i="22"/>
  <c r="U34" i="22"/>
  <c r="T34" i="22"/>
  <c r="AD34" i="22" s="1"/>
  <c r="AP33" i="22"/>
  <c r="AM33" i="22"/>
  <c r="AJ33" i="22"/>
  <c r="AC33" i="22"/>
  <c r="AB33" i="22"/>
  <c r="U33" i="22"/>
  <c r="T33" i="22"/>
  <c r="AD33" i="22" s="1"/>
  <c r="AP32" i="22"/>
  <c r="AM32" i="22"/>
  <c r="AJ32" i="22"/>
  <c r="AC32" i="22"/>
  <c r="AB32" i="22"/>
  <c r="U32" i="22"/>
  <c r="T32" i="22"/>
  <c r="AD32" i="22" s="1"/>
  <c r="AP31" i="22"/>
  <c r="AM31" i="22"/>
  <c r="AJ31" i="22"/>
  <c r="AC31" i="22"/>
  <c r="AB31" i="22"/>
  <c r="U31" i="22"/>
  <c r="T31" i="22"/>
  <c r="AD31" i="22" s="1"/>
  <c r="AP30" i="22"/>
  <c r="AM30" i="22"/>
  <c r="AJ30" i="22"/>
  <c r="AC30" i="22"/>
  <c r="AB30" i="22"/>
  <c r="U30" i="22"/>
  <c r="AE30" i="22" s="1"/>
  <c r="T30" i="22"/>
  <c r="AD30" i="22" s="1"/>
  <c r="AP29" i="22"/>
  <c r="AM29" i="22"/>
  <c r="AJ29" i="22"/>
  <c r="AC29" i="22"/>
  <c r="AB29" i="22"/>
  <c r="U29" i="22"/>
  <c r="T29" i="22"/>
  <c r="AD29" i="22" s="1"/>
  <c r="AP28" i="22"/>
  <c r="AM28" i="22"/>
  <c r="AJ28" i="22"/>
  <c r="AC28" i="22"/>
  <c r="AB28" i="22"/>
  <c r="U28" i="22"/>
  <c r="T28" i="22"/>
  <c r="AD28" i="22" s="1"/>
  <c r="AP27" i="22"/>
  <c r="AM27" i="22"/>
  <c r="AJ27" i="22"/>
  <c r="AC27" i="22"/>
  <c r="AB27" i="22"/>
  <c r="U27" i="22"/>
  <c r="T27" i="22"/>
  <c r="AD27" i="22" s="1"/>
  <c r="AP26" i="22"/>
  <c r="AM26" i="22"/>
  <c r="AJ26" i="22"/>
  <c r="AC26" i="22"/>
  <c r="AB26" i="22"/>
  <c r="U26" i="22"/>
  <c r="AE26" i="22" s="1"/>
  <c r="T26" i="22"/>
  <c r="AD26" i="22" s="1"/>
  <c r="AP25" i="22"/>
  <c r="AM25" i="22"/>
  <c r="AJ25" i="22"/>
  <c r="AC25" i="22"/>
  <c r="AB25" i="22"/>
  <c r="U25" i="22"/>
  <c r="T25" i="22"/>
  <c r="AD25" i="22" s="1"/>
  <c r="AP24" i="22"/>
  <c r="AM24" i="22"/>
  <c r="AJ24" i="22"/>
  <c r="AC24" i="22"/>
  <c r="AB24" i="22"/>
  <c r="U24" i="22"/>
  <c r="T24" i="22"/>
  <c r="AD24" i="22" s="1"/>
  <c r="AP23" i="22"/>
  <c r="AM23" i="22"/>
  <c r="AJ23" i="22"/>
  <c r="AC23" i="22"/>
  <c r="AB23" i="22"/>
  <c r="U23" i="22"/>
  <c r="T23" i="22"/>
  <c r="AD23" i="22" s="1"/>
  <c r="AP22" i="22"/>
  <c r="AM22" i="22"/>
  <c r="AJ22" i="22"/>
  <c r="AC22" i="22"/>
  <c r="AB22" i="22"/>
  <c r="U22" i="22"/>
  <c r="AE22" i="22" s="1"/>
  <c r="T22" i="22"/>
  <c r="AD22" i="22" s="1"/>
  <c r="AP21" i="22"/>
  <c r="AM21" i="22"/>
  <c r="AJ21" i="22"/>
  <c r="AC21" i="22"/>
  <c r="AB21" i="22"/>
  <c r="U21" i="22"/>
  <c r="AE21" i="22" s="1"/>
  <c r="T21" i="22"/>
  <c r="AD21" i="22" s="1"/>
  <c r="AP20" i="22"/>
  <c r="AM20" i="22"/>
  <c r="AJ20" i="22"/>
  <c r="AC20" i="22"/>
  <c r="AB20" i="22"/>
  <c r="U20" i="22"/>
  <c r="T20" i="22"/>
  <c r="AD20" i="22" s="1"/>
  <c r="AP19" i="22"/>
  <c r="AM19" i="22"/>
  <c r="AJ19" i="22"/>
  <c r="AC19" i="22"/>
  <c r="AB19" i="22"/>
  <c r="U19" i="22"/>
  <c r="T19" i="22"/>
  <c r="AD19" i="22" s="1"/>
  <c r="AP18" i="22"/>
  <c r="AM18" i="22"/>
  <c r="AJ18" i="22"/>
  <c r="AC18" i="22"/>
  <c r="AB18" i="22"/>
  <c r="U18" i="22"/>
  <c r="T18" i="22"/>
  <c r="AD18" i="22" s="1"/>
  <c r="AP17" i="22"/>
  <c r="AM17" i="22"/>
  <c r="AJ17" i="22"/>
  <c r="AC17" i="22"/>
  <c r="AB17" i="22"/>
  <c r="U17" i="22"/>
  <c r="T17" i="22"/>
  <c r="AD17" i="22" s="1"/>
  <c r="AP16" i="22"/>
  <c r="AM16" i="22"/>
  <c r="AJ16" i="22"/>
  <c r="AC16" i="22"/>
  <c r="AB16" i="22"/>
  <c r="U16" i="22"/>
  <c r="T16" i="22"/>
  <c r="AD16" i="22" s="1"/>
  <c r="AP15" i="22"/>
  <c r="AM15" i="22"/>
  <c r="AJ15" i="22"/>
  <c r="AC15" i="22"/>
  <c r="AB15" i="22"/>
  <c r="U15" i="22"/>
  <c r="T15" i="22"/>
  <c r="AD15" i="22" s="1"/>
  <c r="AP14" i="22"/>
  <c r="AM14" i="22"/>
  <c r="AJ14" i="22"/>
  <c r="AC14" i="22"/>
  <c r="AB14" i="22"/>
  <c r="U14" i="22"/>
  <c r="T14" i="22"/>
  <c r="AD14" i="22" s="1"/>
  <c r="AP13" i="22"/>
  <c r="AM13" i="22"/>
  <c r="AJ13" i="22"/>
  <c r="AC13" i="22"/>
  <c r="AB13" i="22"/>
  <c r="U13" i="22"/>
  <c r="AE13" i="22" s="1"/>
  <c r="T13" i="22"/>
  <c r="AD13" i="22" s="1"/>
  <c r="AP12" i="22"/>
  <c r="AM12" i="22"/>
  <c r="AJ12" i="22"/>
  <c r="AC12" i="22"/>
  <c r="AB12" i="22"/>
  <c r="U12" i="22"/>
  <c r="T12" i="22"/>
  <c r="AD12" i="22" s="1"/>
  <c r="AP11" i="22"/>
  <c r="AM11" i="22"/>
  <c r="AJ11" i="22"/>
  <c r="AC11" i="22"/>
  <c r="AB11" i="22"/>
  <c r="U11" i="22"/>
  <c r="T11" i="22"/>
  <c r="AD11" i="22" s="1"/>
  <c r="AP10" i="22"/>
  <c r="AM10" i="22"/>
  <c r="AJ10" i="22"/>
  <c r="AC10" i="22"/>
  <c r="AB10" i="22"/>
  <c r="U10" i="22"/>
  <c r="T10" i="22"/>
  <c r="AD10" i="22" s="1"/>
  <c r="AP9" i="22"/>
  <c r="AM9" i="22"/>
  <c r="AJ9" i="22"/>
  <c r="AC9" i="22"/>
  <c r="AB9" i="22"/>
  <c r="U9" i="22"/>
  <c r="T9" i="22"/>
  <c r="AD9" i="22" s="1"/>
  <c r="AP8" i="22"/>
  <c r="AM8" i="22"/>
  <c r="AJ8" i="22"/>
  <c r="AC8" i="22"/>
  <c r="AB8" i="22"/>
  <c r="U8" i="22"/>
  <c r="T8" i="22"/>
  <c r="AD8" i="22" s="1"/>
  <c r="AP7" i="22"/>
  <c r="AM7" i="22"/>
  <c r="AJ7" i="22"/>
  <c r="AC7" i="22"/>
  <c r="AB7" i="22"/>
  <c r="U7" i="22"/>
  <c r="T7" i="22"/>
  <c r="AD7" i="22" s="1"/>
  <c r="AP6" i="22"/>
  <c r="AM6" i="22"/>
  <c r="AJ6" i="22"/>
  <c r="AC6" i="22"/>
  <c r="AB6" i="22"/>
  <c r="U6" i="22"/>
  <c r="T6" i="22"/>
  <c r="AD6" i="22" s="1"/>
  <c r="AP5" i="22"/>
  <c r="AM5" i="22"/>
  <c r="AJ5" i="22"/>
  <c r="AC5" i="22"/>
  <c r="AB5" i="22"/>
  <c r="U5" i="22"/>
  <c r="T5" i="22"/>
  <c r="AD5" i="22" s="1"/>
  <c r="AP4" i="22"/>
  <c r="AM4" i="22"/>
  <c r="AC4" i="22"/>
  <c r="AB4" i="22"/>
  <c r="U4" i="22"/>
  <c r="T4" i="22"/>
  <c r="AD4" i="22" s="1"/>
  <c r="AH25" i="10" l="1"/>
  <c r="W20" i="10"/>
  <c r="AG20" i="10" s="1"/>
  <c r="AH17" i="10"/>
  <c r="Y39" i="10"/>
  <c r="AI39" i="10" s="1"/>
  <c r="Y98" i="10"/>
  <c r="AI98" i="10" s="1"/>
  <c r="W100" i="10"/>
  <c r="AG100" i="10" s="1"/>
  <c r="Y10" i="10"/>
  <c r="AI10" i="10" s="1"/>
  <c r="W14" i="10"/>
  <c r="AG14" i="10" s="1"/>
  <c r="Y42" i="10"/>
  <c r="AI42" i="10" s="1"/>
  <c r="W43" i="10"/>
  <c r="AG43" i="10" s="1"/>
  <c r="Y38" i="10"/>
  <c r="AI38" i="10" s="1"/>
  <c r="W46" i="10"/>
  <c r="AG46" i="10" s="1"/>
  <c r="Y57" i="10"/>
  <c r="AI57" i="10" s="1"/>
  <c r="Y90" i="10"/>
  <c r="AI90" i="10" s="1"/>
  <c r="W92" i="10"/>
  <c r="AG92" i="10" s="1"/>
  <c r="W81" i="10"/>
  <c r="AG81" i="10" s="1"/>
  <c r="Y89" i="10"/>
  <c r="AI89" i="10" s="1"/>
  <c r="W97" i="10"/>
  <c r="AG97" i="10" s="1"/>
  <c r="AH33" i="10"/>
  <c r="AH93" i="10"/>
  <c r="AH41" i="10"/>
  <c r="Y23" i="10"/>
  <c r="AI23" i="10" s="1"/>
  <c r="Y26" i="10"/>
  <c r="AI26" i="10" s="1"/>
  <c r="W52" i="10"/>
  <c r="AG52" i="10" s="1"/>
  <c r="Y61" i="10"/>
  <c r="AI61" i="10" s="1"/>
  <c r="AF71" i="10"/>
  <c r="W76" i="10"/>
  <c r="AG76" i="10" s="1"/>
  <c r="Y86" i="10"/>
  <c r="AI86" i="10" s="1"/>
  <c r="W89" i="10"/>
  <c r="AG89" i="10" s="1"/>
  <c r="W22" i="10"/>
  <c r="AG22" i="10" s="1"/>
  <c r="Y28" i="10"/>
  <c r="AI28" i="10" s="1"/>
  <c r="W36" i="10"/>
  <c r="AG36" i="10" s="1"/>
  <c r="W44" i="10"/>
  <c r="AG44" i="10" s="1"/>
  <c r="W51" i="10"/>
  <c r="AG51" i="10" s="1"/>
  <c r="AH53" i="10"/>
  <c r="Y55" i="10"/>
  <c r="AI55" i="10" s="1"/>
  <c r="AH60" i="10"/>
  <c r="AH73" i="10"/>
  <c r="AH77" i="10"/>
  <c r="AF95" i="10"/>
  <c r="AF79" i="10"/>
  <c r="AF54" i="10"/>
  <c r="AH70" i="10"/>
  <c r="AH78" i="10"/>
  <c r="AH81" i="10"/>
  <c r="AP103" i="22"/>
  <c r="AB103" i="10"/>
  <c r="W8" i="10"/>
  <c r="AG8" i="10" s="1"/>
  <c r="AF11" i="10"/>
  <c r="W12" i="10"/>
  <c r="AG12" i="10" s="1"/>
  <c r="AF13" i="10"/>
  <c r="W17" i="10"/>
  <c r="AG17" i="10" s="1"/>
  <c r="AH18" i="10"/>
  <c r="AH19" i="10"/>
  <c r="AH21" i="10"/>
  <c r="Y22" i="10"/>
  <c r="AI22" i="10" s="1"/>
  <c r="AF27" i="10"/>
  <c r="W28" i="10"/>
  <c r="AG28" i="10" s="1"/>
  <c r="AF29" i="10"/>
  <c r="W33" i="10"/>
  <c r="AG33" i="10" s="1"/>
  <c r="Y34" i="10"/>
  <c r="AI34" i="10" s="1"/>
  <c r="AH36" i="10"/>
  <c r="W38" i="10"/>
  <c r="AG38" i="10" s="1"/>
  <c r="W41" i="10"/>
  <c r="AG41" i="10" s="1"/>
  <c r="Y44" i="10"/>
  <c r="AI44" i="10" s="1"/>
  <c r="Y46" i="10"/>
  <c r="AI46" i="10" s="1"/>
  <c r="Y47" i="10"/>
  <c r="AI47" i="10" s="1"/>
  <c r="W49" i="10"/>
  <c r="AG49" i="10" s="1"/>
  <c r="AH52" i="10"/>
  <c r="Y54" i="10"/>
  <c r="AI54" i="10" s="1"/>
  <c r="W56" i="10"/>
  <c r="AG56" i="10" s="1"/>
  <c r="W59" i="10"/>
  <c r="AG59" i="10" s="1"/>
  <c r="W60" i="10"/>
  <c r="AG60" i="10" s="1"/>
  <c r="Y71" i="10"/>
  <c r="AI71" i="10" s="1"/>
  <c r="W73" i="10"/>
  <c r="AG73" i="10" s="1"/>
  <c r="Y74" i="10"/>
  <c r="AI74" i="10" s="1"/>
  <c r="AH76" i="10"/>
  <c r="Y79" i="10"/>
  <c r="AI79" i="10" s="1"/>
  <c r="Y85" i="10"/>
  <c r="AI85" i="10" s="1"/>
  <c r="AF87" i="10"/>
  <c r="AH5" i="10"/>
  <c r="AJ5" i="10" s="1"/>
  <c r="AK5" i="10" s="1"/>
  <c r="AL5" i="10" s="1"/>
  <c r="AF7" i="10"/>
  <c r="AH11" i="10"/>
  <c r="AH13" i="10"/>
  <c r="Y14" i="10"/>
  <c r="AI14" i="10" s="1"/>
  <c r="W16" i="10"/>
  <c r="AG16" i="10" s="1"/>
  <c r="Y20" i="10"/>
  <c r="AI20" i="10" s="1"/>
  <c r="W24" i="10"/>
  <c r="AG24" i="10" s="1"/>
  <c r="AH27" i="10"/>
  <c r="AH29" i="10"/>
  <c r="Y30" i="10"/>
  <c r="AI30" i="10" s="1"/>
  <c r="W32" i="10"/>
  <c r="AG32" i="10" s="1"/>
  <c r="AH37" i="10"/>
  <c r="W48" i="10"/>
  <c r="AG48" i="10" s="1"/>
  <c r="AH50" i="10"/>
  <c r="W57" i="10"/>
  <c r="AG57" i="10" s="1"/>
  <c r="AH58" i="10"/>
  <c r="AH62" i="10"/>
  <c r="AH66" i="10"/>
  <c r="W68" i="10"/>
  <c r="AG68" i="10" s="1"/>
  <c r="Y87" i="10"/>
  <c r="AI87" i="10" s="1"/>
  <c r="AC103" i="22"/>
  <c r="AH4" i="10"/>
  <c r="AF6" i="10"/>
  <c r="Y7" i="10"/>
  <c r="AI7" i="10" s="1"/>
  <c r="AH9" i="10"/>
  <c r="Y12" i="10"/>
  <c r="AI12" i="10" s="1"/>
  <c r="AF15" i="10"/>
  <c r="AF19" i="10"/>
  <c r="AF23" i="10"/>
  <c r="AF31" i="10"/>
  <c r="Y49" i="10"/>
  <c r="AI49" i="10" s="1"/>
  <c r="AF55" i="10"/>
  <c r="W64" i="10"/>
  <c r="AG64" i="10" s="1"/>
  <c r="AH65" i="10"/>
  <c r="AF67" i="10"/>
  <c r="AH69" i="10"/>
  <c r="W84" i="10"/>
  <c r="AG84" i="10" s="1"/>
  <c r="W91" i="10"/>
  <c r="AG91" i="10" s="1"/>
  <c r="AF94" i="10"/>
  <c r="Y95" i="10"/>
  <c r="AI95" i="10" s="1"/>
  <c r="Y97" i="10"/>
  <c r="AI97" i="10" s="1"/>
  <c r="AH101" i="10"/>
  <c r="AF5" i="10"/>
  <c r="AH6" i="10"/>
  <c r="AJ6" i="10" s="1"/>
  <c r="AF21" i="10"/>
  <c r="AF63" i="10"/>
  <c r="AH84" i="10"/>
  <c r="Y92" i="10"/>
  <c r="AI92" i="10" s="1"/>
  <c r="AH94" i="10"/>
  <c r="W96" i="10"/>
  <c r="AG96" i="10" s="1"/>
  <c r="W99" i="10"/>
  <c r="AG99" i="10" s="1"/>
  <c r="AH100" i="10"/>
  <c r="AF102" i="10"/>
  <c r="AS95" i="10"/>
  <c r="AS87" i="10"/>
  <c r="AS79" i="10"/>
  <c r="AS71" i="10"/>
  <c r="AS63" i="10"/>
  <c r="AS55" i="10"/>
  <c r="AS47" i="10"/>
  <c r="AS102" i="10"/>
  <c r="AS94" i="10"/>
  <c r="AS86" i="10"/>
  <c r="AS78" i="10"/>
  <c r="AS70" i="10"/>
  <c r="AS62" i="10"/>
  <c r="AS54" i="10"/>
  <c r="AS46" i="10"/>
  <c r="AS38" i="10"/>
  <c r="AS101" i="10"/>
  <c r="AS93" i="10"/>
  <c r="AS85" i="10"/>
  <c r="AS77" i="10"/>
  <c r="AS69" i="10"/>
  <c r="AS61" i="10"/>
  <c r="AS53" i="10"/>
  <c r="AS100" i="10"/>
  <c r="AS92" i="10"/>
  <c r="AS84" i="10"/>
  <c r="AS76" i="10"/>
  <c r="AS68" i="10"/>
  <c r="AS60" i="10"/>
  <c r="AS52" i="10"/>
  <c r="AS44" i="10"/>
  <c r="AS36" i="10"/>
  <c r="AS99" i="10"/>
  <c r="AS91" i="10"/>
  <c r="AS83" i="10"/>
  <c r="AS75" i="10"/>
  <c r="AS67" i="10"/>
  <c r="AS59" i="10"/>
  <c r="AS51" i="10"/>
  <c r="AS43" i="10"/>
  <c r="AS35" i="10"/>
  <c r="AS98" i="10"/>
  <c r="AS90" i="10"/>
  <c r="AS82" i="10"/>
  <c r="AS74" i="10"/>
  <c r="AS66" i="10"/>
  <c r="AS58" i="10"/>
  <c r="AS97" i="10"/>
  <c r="AS89" i="10"/>
  <c r="AS81" i="10"/>
  <c r="AS73" i="10"/>
  <c r="AS65" i="10"/>
  <c r="AS57" i="10"/>
  <c r="AS49" i="10"/>
  <c r="AS41" i="10"/>
  <c r="AS80" i="10"/>
  <c r="AS48" i="10"/>
  <c r="AS39" i="10"/>
  <c r="AS27" i="10"/>
  <c r="AS19" i="10"/>
  <c r="AS11" i="10"/>
  <c r="AS96" i="10"/>
  <c r="AS88" i="10"/>
  <c r="AS34" i="10"/>
  <c r="AS26" i="10"/>
  <c r="AS18" i="10"/>
  <c r="AS10" i="10"/>
  <c r="AS4" i="10"/>
  <c r="AS42" i="10"/>
  <c r="AS33" i="10"/>
  <c r="AS25" i="10"/>
  <c r="AS17" i="10"/>
  <c r="AS9" i="10"/>
  <c r="AS64" i="10"/>
  <c r="AS37" i="10"/>
  <c r="AS32" i="10"/>
  <c r="AS24" i="10"/>
  <c r="AS16" i="10"/>
  <c r="AS8" i="10"/>
  <c r="AS40" i="10"/>
  <c r="AS31" i="10"/>
  <c r="AS23" i="10"/>
  <c r="AS15" i="10"/>
  <c r="AS7" i="10"/>
  <c r="AS56" i="10"/>
  <c r="AS30" i="10"/>
  <c r="AS22" i="10"/>
  <c r="AS14" i="10"/>
  <c r="AS6" i="10"/>
  <c r="AS21" i="10"/>
  <c r="AS96" i="22"/>
  <c r="AS88" i="22"/>
  <c r="AS80" i="22"/>
  <c r="AS72" i="22"/>
  <c r="AS64" i="22"/>
  <c r="AS56" i="22"/>
  <c r="AS48" i="22"/>
  <c r="AS40" i="22"/>
  <c r="AS32" i="22"/>
  <c r="AS24" i="22"/>
  <c r="AS16" i="22"/>
  <c r="AS8" i="22"/>
  <c r="AS95" i="22"/>
  <c r="AS87" i="22"/>
  <c r="AS79" i="22"/>
  <c r="AS71" i="22"/>
  <c r="AS63" i="22"/>
  <c r="AS55" i="22"/>
  <c r="AS47" i="22"/>
  <c r="AS39" i="22"/>
  <c r="AS31" i="22"/>
  <c r="AS23" i="22"/>
  <c r="AS15" i="22"/>
  <c r="AS7" i="22"/>
  <c r="AS72" i="10"/>
  <c r="AS50" i="10"/>
  <c r="AS28" i="10"/>
  <c r="AS13" i="10"/>
  <c r="AS102" i="22"/>
  <c r="AS94" i="22"/>
  <c r="AS86" i="22"/>
  <c r="AS78" i="22"/>
  <c r="AS70" i="22"/>
  <c r="AS62" i="22"/>
  <c r="AS54" i="22"/>
  <c r="AS46" i="22"/>
  <c r="AS38" i="22"/>
  <c r="AS30" i="22"/>
  <c r="AS22" i="22"/>
  <c r="AS14" i="22"/>
  <c r="AS6" i="22"/>
  <c r="AS5" i="10"/>
  <c r="AS101" i="22"/>
  <c r="AS93" i="22"/>
  <c r="AS85" i="22"/>
  <c r="AS77" i="22"/>
  <c r="AS69" i="22"/>
  <c r="AS61" i="22"/>
  <c r="AS53" i="22"/>
  <c r="AS45" i="22"/>
  <c r="AS37" i="22"/>
  <c r="AS29" i="22"/>
  <c r="AS21" i="22"/>
  <c r="AS13" i="22"/>
  <c r="AS5" i="22"/>
  <c r="AS45" i="10"/>
  <c r="AS20" i="10"/>
  <c r="AS100" i="22"/>
  <c r="AS92" i="22"/>
  <c r="AS84" i="22"/>
  <c r="AS76" i="22"/>
  <c r="AS68" i="22"/>
  <c r="AS60" i="22"/>
  <c r="AS52" i="22"/>
  <c r="AS44" i="22"/>
  <c r="AS36" i="22"/>
  <c r="AS28" i="22"/>
  <c r="AS20" i="22"/>
  <c r="AS12" i="22"/>
  <c r="AS4" i="22"/>
  <c r="AS99" i="22"/>
  <c r="AS91" i="22"/>
  <c r="AS83" i="22"/>
  <c r="AS75" i="22"/>
  <c r="AS67" i="22"/>
  <c r="AS59" i="22"/>
  <c r="AS51" i="22"/>
  <c r="AS43" i="22"/>
  <c r="AS35" i="22"/>
  <c r="AS27" i="22"/>
  <c r="AS19" i="22"/>
  <c r="AS11" i="22"/>
  <c r="AS98" i="22"/>
  <c r="AS82" i="22"/>
  <c r="AS66" i="22"/>
  <c r="AS50" i="22"/>
  <c r="AS34" i="22"/>
  <c r="AS18" i="22"/>
  <c r="AS12" i="10"/>
  <c r="AS97" i="22"/>
  <c r="AS81" i="22"/>
  <c r="AS65" i="22"/>
  <c r="AS49" i="22"/>
  <c r="AS33" i="22"/>
  <c r="AS17" i="22"/>
  <c r="AS29" i="10"/>
  <c r="AS90" i="22"/>
  <c r="AS74" i="22"/>
  <c r="AS58" i="22"/>
  <c r="AS42" i="22"/>
  <c r="AS26" i="22"/>
  <c r="AS10" i="22"/>
  <c r="AS89" i="22"/>
  <c r="AS73" i="22"/>
  <c r="AS57" i="22"/>
  <c r="AS41" i="22"/>
  <c r="AS25" i="22"/>
  <c r="AS9" i="22"/>
  <c r="AT102" i="10"/>
  <c r="AT94" i="10"/>
  <c r="AT86" i="10"/>
  <c r="AT78" i="10"/>
  <c r="AT70" i="10"/>
  <c r="AT62" i="10"/>
  <c r="AT54" i="10"/>
  <c r="AT46" i="10"/>
  <c r="AT101" i="10"/>
  <c r="AT93" i="10"/>
  <c r="AT85" i="10"/>
  <c r="AT77" i="10"/>
  <c r="AT69" i="10"/>
  <c r="AT61" i="10"/>
  <c r="AT53" i="10"/>
  <c r="AT45" i="10"/>
  <c r="AT37" i="10"/>
  <c r="AT100" i="10"/>
  <c r="AT92" i="10"/>
  <c r="AT84" i="10"/>
  <c r="AT76" i="10"/>
  <c r="AT68" i="10"/>
  <c r="AT60" i="10"/>
  <c r="AT52" i="10"/>
  <c r="AT99" i="10"/>
  <c r="AT91" i="10"/>
  <c r="AT83" i="10"/>
  <c r="AT75" i="10"/>
  <c r="AT67" i="10"/>
  <c r="AT59" i="10"/>
  <c r="AT51" i="10"/>
  <c r="AT43" i="10"/>
  <c r="AT35" i="10"/>
  <c r="AT98" i="10"/>
  <c r="AT90" i="10"/>
  <c r="AT82" i="10"/>
  <c r="AT74" i="10"/>
  <c r="AT66" i="10"/>
  <c r="AT58" i="10"/>
  <c r="AT50" i="10"/>
  <c r="AT42" i="10"/>
  <c r="AT34" i="10"/>
  <c r="AT97" i="10"/>
  <c r="AT89" i="10"/>
  <c r="AT81" i="10"/>
  <c r="AT73" i="10"/>
  <c r="AT65" i="10"/>
  <c r="AT57" i="10"/>
  <c r="AT96" i="10"/>
  <c r="AT88" i="10"/>
  <c r="AT80" i="10"/>
  <c r="AT72" i="10"/>
  <c r="AT64" i="10"/>
  <c r="AT56" i="10"/>
  <c r="AT48" i="10"/>
  <c r="AT40" i="10"/>
  <c r="AT26" i="10"/>
  <c r="AT18" i="10"/>
  <c r="AT10" i="10"/>
  <c r="AT4" i="10"/>
  <c r="AT79" i="10"/>
  <c r="AT44" i="10"/>
  <c r="AT33" i="10"/>
  <c r="AT25" i="10"/>
  <c r="AT17" i="10"/>
  <c r="AT9" i="10"/>
  <c r="AT87" i="10"/>
  <c r="AT49" i="10"/>
  <c r="AT32" i="10"/>
  <c r="AT24" i="10"/>
  <c r="AT16" i="10"/>
  <c r="AT8" i="10"/>
  <c r="AT95" i="10"/>
  <c r="AT31" i="10"/>
  <c r="AT23" i="10"/>
  <c r="AT15" i="10"/>
  <c r="AT7" i="10"/>
  <c r="AT47" i="10"/>
  <c r="AT38" i="10"/>
  <c r="AT30" i="10"/>
  <c r="AT22" i="10"/>
  <c r="AT14" i="10"/>
  <c r="AT6" i="10"/>
  <c r="AT63" i="10"/>
  <c r="AT41" i="10"/>
  <c r="AT29" i="10"/>
  <c r="AT21" i="10"/>
  <c r="AT13" i="10"/>
  <c r="AT27" i="10"/>
  <c r="AT95" i="22"/>
  <c r="AT87" i="22"/>
  <c r="AT79" i="22"/>
  <c r="AT71" i="22"/>
  <c r="AT63" i="22"/>
  <c r="AT55" i="22"/>
  <c r="AT47" i="22"/>
  <c r="AT39" i="22"/>
  <c r="AT31" i="22"/>
  <c r="AT23" i="22"/>
  <c r="AT15" i="22"/>
  <c r="AT7" i="22"/>
  <c r="AT28" i="10"/>
  <c r="AT102" i="22"/>
  <c r="AT94" i="22"/>
  <c r="AT86" i="22"/>
  <c r="AT78" i="22"/>
  <c r="AT70" i="22"/>
  <c r="AT62" i="22"/>
  <c r="AT54" i="22"/>
  <c r="AT46" i="22"/>
  <c r="AT38" i="22"/>
  <c r="AT30" i="22"/>
  <c r="AT22" i="22"/>
  <c r="AT14" i="22"/>
  <c r="AT6" i="22"/>
  <c r="AT19" i="10"/>
  <c r="AT5" i="10"/>
  <c r="AT101" i="22"/>
  <c r="AT93" i="22"/>
  <c r="AT85" i="22"/>
  <c r="AT77" i="22"/>
  <c r="AT69" i="22"/>
  <c r="AT61" i="22"/>
  <c r="AT53" i="22"/>
  <c r="AT45" i="22"/>
  <c r="AT37" i="22"/>
  <c r="AT29" i="22"/>
  <c r="AT21" i="22"/>
  <c r="AT13" i="22"/>
  <c r="AT5" i="22"/>
  <c r="AT71" i="10"/>
  <c r="AT20" i="10"/>
  <c r="AT100" i="22"/>
  <c r="AT92" i="22"/>
  <c r="AT84" i="22"/>
  <c r="AT76" i="22"/>
  <c r="AT68" i="22"/>
  <c r="AT60" i="22"/>
  <c r="AT52" i="22"/>
  <c r="AT44" i="22"/>
  <c r="AT36" i="22"/>
  <c r="AT28" i="22"/>
  <c r="AT20" i="22"/>
  <c r="AT12" i="22"/>
  <c r="AT4" i="22"/>
  <c r="AT55" i="10"/>
  <c r="AT39" i="10"/>
  <c r="AT11" i="10"/>
  <c r="AT99" i="22"/>
  <c r="AT91" i="22"/>
  <c r="AT83" i="22"/>
  <c r="AT75" i="22"/>
  <c r="AT67" i="22"/>
  <c r="AT59" i="22"/>
  <c r="AT51" i="22"/>
  <c r="AT43" i="22"/>
  <c r="AT35" i="22"/>
  <c r="AT27" i="22"/>
  <c r="AT19" i="22"/>
  <c r="AT11" i="22"/>
  <c r="AT12" i="10"/>
  <c r="AT98" i="22"/>
  <c r="AT90" i="22"/>
  <c r="AT82" i="22"/>
  <c r="AT74" i="22"/>
  <c r="AT66" i="22"/>
  <c r="AT58" i="22"/>
  <c r="AT50" i="22"/>
  <c r="AT42" i="22"/>
  <c r="AT34" i="22"/>
  <c r="AT26" i="22"/>
  <c r="AT18" i="22"/>
  <c r="AT10" i="22"/>
  <c r="AT97" i="22"/>
  <c r="AT81" i="22"/>
  <c r="AT65" i="22"/>
  <c r="AT49" i="22"/>
  <c r="AT33" i="22"/>
  <c r="AT17" i="22"/>
  <c r="AT96" i="22"/>
  <c r="AT80" i="22"/>
  <c r="AT64" i="22"/>
  <c r="AT48" i="22"/>
  <c r="AT32" i="22"/>
  <c r="AT16" i="22"/>
  <c r="AT36" i="10"/>
  <c r="AT89" i="22"/>
  <c r="AT73" i="22"/>
  <c r="AT57" i="22"/>
  <c r="AT41" i="22"/>
  <c r="AT25" i="22"/>
  <c r="AT9" i="22"/>
  <c r="AT88" i="22"/>
  <c r="AT72" i="22"/>
  <c r="AT56" i="22"/>
  <c r="AT40" i="22"/>
  <c r="AT24" i="22"/>
  <c r="AT8" i="22"/>
  <c r="AB103" i="22"/>
  <c r="AF9" i="10"/>
  <c r="W9" i="10"/>
  <c r="AG9" i="10" s="1"/>
  <c r="AF26" i="10"/>
  <c r="W26" i="10"/>
  <c r="AG26" i="10" s="1"/>
  <c r="AH16" i="10"/>
  <c r="Y16" i="10"/>
  <c r="AI16" i="10" s="1"/>
  <c r="AM103" i="22"/>
  <c r="AH31" i="10"/>
  <c r="Y31" i="10"/>
  <c r="AI31" i="10" s="1"/>
  <c r="W4" i="10"/>
  <c r="AG4" i="10" s="1"/>
  <c r="AH83" i="10"/>
  <c r="Y83" i="10"/>
  <c r="AI83" i="10" s="1"/>
  <c r="AK6" i="10"/>
  <c r="AL6" i="10" s="1"/>
  <c r="AH24" i="10"/>
  <c r="Y24" i="10"/>
  <c r="AI24" i="10" s="1"/>
  <c r="AF34" i="10"/>
  <c r="W34" i="10"/>
  <c r="AG34" i="10" s="1"/>
  <c r="AF77" i="10"/>
  <c r="W77" i="10"/>
  <c r="AG77" i="10" s="1"/>
  <c r="AJ4" i="10"/>
  <c r="AJ103" i="10" s="1"/>
  <c r="AF10" i="10"/>
  <c r="W10" i="10"/>
  <c r="AG10" i="10" s="1"/>
  <c r="AH32" i="10"/>
  <c r="Y32" i="10"/>
  <c r="AI32" i="10" s="1"/>
  <c r="AF45" i="10"/>
  <c r="W45" i="10"/>
  <c r="AG45" i="10" s="1"/>
  <c r="W50" i="10"/>
  <c r="AG50" i="10" s="1"/>
  <c r="AF50" i="10"/>
  <c r="AF69" i="10"/>
  <c r="W69" i="10"/>
  <c r="AG69" i="10" s="1"/>
  <c r="Y15" i="10"/>
  <c r="AI15" i="10" s="1"/>
  <c r="W25" i="10"/>
  <c r="AG25" i="10" s="1"/>
  <c r="AF93" i="10"/>
  <c r="W93" i="10"/>
  <c r="AG93" i="10" s="1"/>
  <c r="AM103" i="10"/>
  <c r="AH8" i="10"/>
  <c r="Y8" i="10"/>
  <c r="AI8" i="10" s="1"/>
  <c r="AF18" i="10"/>
  <c r="W18" i="10"/>
  <c r="AG18" i="10" s="1"/>
  <c r="AF35" i="10"/>
  <c r="W35" i="10"/>
  <c r="AG35" i="10" s="1"/>
  <c r="Y48" i="10"/>
  <c r="AI48" i="10" s="1"/>
  <c r="AH48" i="10"/>
  <c r="AH43" i="10"/>
  <c r="Y43" i="10"/>
  <c r="AI43" i="10" s="1"/>
  <c r="AH91" i="10"/>
  <c r="Y91" i="10"/>
  <c r="AI91" i="10" s="1"/>
  <c r="AH99" i="10"/>
  <c r="Y99" i="10"/>
  <c r="AI99" i="10" s="1"/>
  <c r="AH35" i="10"/>
  <c r="Y35" i="10"/>
  <c r="AI35" i="10" s="1"/>
  <c r="AF37" i="10"/>
  <c r="W37" i="10"/>
  <c r="AG37" i="10" s="1"/>
  <c r="AF39" i="10"/>
  <c r="AF53" i="10"/>
  <c r="W53" i="10"/>
  <c r="AG53" i="10" s="1"/>
  <c r="AF61" i="10"/>
  <c r="W61" i="10"/>
  <c r="AG61" i="10" s="1"/>
  <c r="AH75" i="10"/>
  <c r="Y75" i="10"/>
  <c r="AI75" i="10" s="1"/>
  <c r="Y40" i="10"/>
  <c r="AI40" i="10" s="1"/>
  <c r="AH40" i="10"/>
  <c r="AH67" i="10"/>
  <c r="Y67" i="10"/>
  <c r="AI67" i="10" s="1"/>
  <c r="AC103" i="10"/>
  <c r="AP103" i="10"/>
  <c r="W42" i="10"/>
  <c r="AG42" i="10" s="1"/>
  <c r="AF42" i="10"/>
  <c r="AH45" i="10"/>
  <c r="AH51" i="10"/>
  <c r="Y51" i="10"/>
  <c r="AI51" i="10" s="1"/>
  <c r="AH59" i="10"/>
  <c r="Y59" i="10"/>
  <c r="AI59" i="10" s="1"/>
  <c r="AF85" i="10"/>
  <c r="W85" i="10"/>
  <c r="AG85" i="10" s="1"/>
  <c r="AF47" i="10"/>
  <c r="AF101" i="10"/>
  <c r="W101" i="10"/>
  <c r="AG101" i="10" s="1"/>
  <c r="AF40" i="10"/>
  <c r="AF72" i="10"/>
  <c r="AF80" i="10"/>
  <c r="AF88" i="10"/>
  <c r="AH102" i="10"/>
  <c r="W62" i="10"/>
  <c r="AG62" i="10" s="1"/>
  <c r="AH63" i="10"/>
  <c r="AF65" i="10"/>
  <c r="Y68" i="10"/>
  <c r="AI68" i="10" s="1"/>
  <c r="W70" i="10"/>
  <c r="AG70" i="10" s="1"/>
  <c r="W78" i="10"/>
  <c r="AG78" i="10" s="1"/>
  <c r="W86" i="10"/>
  <c r="AG86" i="10" s="1"/>
  <c r="AH56" i="10"/>
  <c r="AF58" i="10"/>
  <c r="AH64" i="10"/>
  <c r="AF66" i="10"/>
  <c r="AH72" i="10"/>
  <c r="AF74" i="10"/>
  <c r="AH80" i="10"/>
  <c r="AF82" i="10"/>
  <c r="AH88" i="10"/>
  <c r="AF90" i="10"/>
  <c r="AH96" i="10"/>
  <c r="AF98" i="10"/>
  <c r="AF75" i="10"/>
  <c r="AF83" i="10"/>
  <c r="AA98" i="10"/>
  <c r="X28" i="22"/>
  <c r="AH28" i="22" s="1"/>
  <c r="AN44" i="22"/>
  <c r="AO44" i="22" s="1"/>
  <c r="Z60" i="22"/>
  <c r="AN87" i="22"/>
  <c r="AO87" i="22" s="1"/>
  <c r="Z92" i="22"/>
  <c r="AQ56" i="10"/>
  <c r="AR56" i="10" s="1"/>
  <c r="AQ64" i="10"/>
  <c r="AR64" i="10" s="1"/>
  <c r="AQ72" i="10"/>
  <c r="AR72" i="10" s="1"/>
  <c r="AA88" i="10"/>
  <c r="AA4" i="10"/>
  <c r="V16" i="22"/>
  <c r="AF16" i="22" s="1"/>
  <c r="V40" i="22"/>
  <c r="AF40" i="22" s="1"/>
  <c r="AQ56" i="22"/>
  <c r="AR56" i="22" s="1"/>
  <c r="AQ72" i="22"/>
  <c r="AR72" i="22" s="1"/>
  <c r="AN12" i="22"/>
  <c r="AO12" i="22" s="1"/>
  <c r="X36" i="22"/>
  <c r="Y36" i="22" s="1"/>
  <c r="AI36" i="22" s="1"/>
  <c r="Z68" i="22"/>
  <c r="Z84" i="22"/>
  <c r="AA95" i="22"/>
  <c r="AQ60" i="10"/>
  <c r="AR60" i="10" s="1"/>
  <c r="AN68" i="10"/>
  <c r="AO68" i="10" s="1"/>
  <c r="AA76" i="10"/>
  <c r="AA84" i="10"/>
  <c r="AA92" i="10"/>
  <c r="AQ6" i="10"/>
  <c r="AR6" i="10" s="1"/>
  <c r="V32" i="22"/>
  <c r="W32" i="22" s="1"/>
  <c r="AG32" i="22" s="1"/>
  <c r="AQ64" i="22"/>
  <c r="AR64" i="22" s="1"/>
  <c r="AQ80" i="22"/>
  <c r="AR80" i="22" s="1"/>
  <c r="AQ96" i="22"/>
  <c r="AR96" i="22" s="1"/>
  <c r="AA102" i="10"/>
  <c r="AD103" i="22"/>
  <c r="AQ4" i="22"/>
  <c r="AR4" i="22" s="1"/>
  <c r="AD103" i="10"/>
  <c r="AK5" i="22"/>
  <c r="AL5" i="22" s="1"/>
  <c r="AN9" i="22"/>
  <c r="AO9" i="22" s="1"/>
  <c r="AN17" i="22"/>
  <c r="AO17" i="22" s="1"/>
  <c r="AN33" i="22"/>
  <c r="AO33" i="22" s="1"/>
  <c r="AN41" i="22"/>
  <c r="AO41" i="22" s="1"/>
  <c r="Z45" i="22"/>
  <c r="AN49" i="22"/>
  <c r="AO49" i="22" s="1"/>
  <c r="AN57" i="22"/>
  <c r="AO57" i="22" s="1"/>
  <c r="AN73" i="22"/>
  <c r="AO73" i="22" s="1"/>
  <c r="AN81" i="22"/>
  <c r="AO81" i="22" s="1"/>
  <c r="AQ89" i="22"/>
  <c r="AR89" i="22" s="1"/>
  <c r="AN97" i="22"/>
  <c r="AO97" i="22" s="1"/>
  <c r="AN6" i="22"/>
  <c r="AO6" i="22" s="1"/>
  <c r="AQ10" i="22"/>
  <c r="AR10" i="22" s="1"/>
  <c r="AN14" i="22"/>
  <c r="AO14" i="22" s="1"/>
  <c r="AK18" i="22"/>
  <c r="AL18" i="22" s="1"/>
  <c r="AK34" i="22"/>
  <c r="AL34" i="22" s="1"/>
  <c r="AN38" i="22"/>
  <c r="AO38" i="22" s="1"/>
  <c r="AK42" i="22"/>
  <c r="AL42" i="22" s="1"/>
  <c r="AN46" i="22"/>
  <c r="AO46" i="22" s="1"/>
  <c r="AK50" i="22"/>
  <c r="AL50" i="22" s="1"/>
  <c r="AN54" i="22"/>
  <c r="AO54" i="22" s="1"/>
  <c r="AK58" i="22"/>
  <c r="AL58" i="22" s="1"/>
  <c r="AN62" i="22"/>
  <c r="AO62" i="22" s="1"/>
  <c r="AN70" i="22"/>
  <c r="AO70" i="22" s="1"/>
  <c r="AK74" i="22"/>
  <c r="AL74" i="22" s="1"/>
  <c r="AN78" i="22"/>
  <c r="AO78" i="22" s="1"/>
  <c r="AK82" i="22"/>
  <c r="AL82" i="22" s="1"/>
  <c r="AN86" i="22"/>
  <c r="AO86" i="22" s="1"/>
  <c r="V90" i="22"/>
  <c r="W90" i="22" s="1"/>
  <c r="AG90" i="22" s="1"/>
  <c r="AK98" i="22"/>
  <c r="AL98" i="22" s="1"/>
  <c r="AN102" i="22"/>
  <c r="AO102" i="22" s="1"/>
  <c r="AK7" i="22"/>
  <c r="AL7" i="22" s="1"/>
  <c r="AQ11" i="22"/>
  <c r="AR11" i="22" s="1"/>
  <c r="AK15" i="22"/>
  <c r="AL15" i="22" s="1"/>
  <c r="AK19" i="22"/>
  <c r="AL19" i="22" s="1"/>
  <c r="AK23" i="22"/>
  <c r="AL23" i="22" s="1"/>
  <c r="AK31" i="22"/>
  <c r="AL31" i="22" s="1"/>
  <c r="AK39" i="22"/>
  <c r="AL39" i="22" s="1"/>
  <c r="AA43" i="22"/>
  <c r="AK47" i="22"/>
  <c r="AL47" i="22" s="1"/>
  <c r="AQ51" i="22"/>
  <c r="AR51" i="22" s="1"/>
  <c r="AK55" i="22"/>
  <c r="AL55" i="22" s="1"/>
  <c r="AQ59" i="22"/>
  <c r="AR59" i="22" s="1"/>
  <c r="AN75" i="22"/>
  <c r="AO75" i="22" s="1"/>
  <c r="AA10" i="10"/>
  <c r="AA14" i="10"/>
  <c r="AA22" i="10"/>
  <c r="AA30" i="10"/>
  <c r="AA38" i="10"/>
  <c r="AA46" i="10"/>
  <c r="AA50" i="10"/>
  <c r="AA54" i="10"/>
  <c r="AA66" i="10"/>
  <c r="AA74" i="10"/>
  <c r="AA86" i="10"/>
  <c r="AA90" i="10"/>
  <c r="AN11" i="10"/>
  <c r="AO11" i="10" s="1"/>
  <c r="AN15" i="10"/>
  <c r="AO15" i="10" s="1"/>
  <c r="Z19" i="10"/>
  <c r="AA27" i="10"/>
  <c r="AA31" i="10"/>
  <c r="AN35" i="10"/>
  <c r="AO35" i="10" s="1"/>
  <c r="AA39" i="10"/>
  <c r="AN43" i="10"/>
  <c r="AO43" i="10" s="1"/>
  <c r="AN47" i="10"/>
  <c r="AO47" i="10" s="1"/>
  <c r="Z51" i="10"/>
  <c r="AA63" i="10"/>
  <c r="AN67" i="10"/>
  <c r="AO67" i="10" s="1"/>
  <c r="AN71" i="10"/>
  <c r="AO71" i="10" s="1"/>
  <c r="AN75" i="10"/>
  <c r="AO75" i="10" s="1"/>
  <c r="AQ79" i="10"/>
  <c r="AR79" i="10" s="1"/>
  <c r="AA83" i="10"/>
  <c r="AN87" i="10"/>
  <c r="AO87" i="10" s="1"/>
  <c r="AN91" i="10"/>
  <c r="AO91" i="10" s="1"/>
  <c r="AQ95" i="10"/>
  <c r="AR95" i="10" s="1"/>
  <c r="AN99" i="10"/>
  <c r="AO99" i="10" s="1"/>
  <c r="AQ5" i="10"/>
  <c r="AR5" i="10" s="1"/>
  <c r="AA8" i="10"/>
  <c r="AQ16" i="10"/>
  <c r="AR16" i="10" s="1"/>
  <c r="AA20" i="10"/>
  <c r="AQ24" i="10"/>
  <c r="AR24" i="10" s="1"/>
  <c r="AQ32" i="10"/>
  <c r="AR32" i="10" s="1"/>
  <c r="AA36" i="10"/>
  <c r="AN40" i="10"/>
  <c r="AO40" i="10" s="1"/>
  <c r="AA44" i="10"/>
  <c r="AQ48" i="10"/>
  <c r="AR48" i="10" s="1"/>
  <c r="V72" i="22"/>
  <c r="W72" i="22" s="1"/>
  <c r="AG72" i="22" s="1"/>
  <c r="AA67" i="10"/>
  <c r="AE34" i="22"/>
  <c r="AA4" i="22"/>
  <c r="AE90" i="22"/>
  <c r="AQ47" i="10"/>
  <c r="AR47" i="10" s="1"/>
  <c r="AE23" i="22"/>
  <c r="AE56" i="10"/>
  <c r="AN11" i="22"/>
  <c r="AO11" i="22" s="1"/>
  <c r="V97" i="22"/>
  <c r="AF97" i="22" s="1"/>
  <c r="AK43" i="22"/>
  <c r="AL43" i="22" s="1"/>
  <c r="V64" i="22"/>
  <c r="AF64" i="22" s="1"/>
  <c r="AA11" i="10"/>
  <c r="AK51" i="22"/>
  <c r="AL51" i="22" s="1"/>
  <c r="AK93" i="22"/>
  <c r="AL93" i="22" s="1"/>
  <c r="X4" i="22"/>
  <c r="AH4" i="22" s="1"/>
  <c r="Z31" i="10"/>
  <c r="V50" i="22"/>
  <c r="W50" i="22" s="1"/>
  <c r="AG50" i="22" s="1"/>
  <c r="V70" i="22"/>
  <c r="AF70" i="22" s="1"/>
  <c r="V98" i="22"/>
  <c r="W98" i="22" s="1"/>
  <c r="AG98" i="22" s="1"/>
  <c r="AA15" i="10"/>
  <c r="AA43" i="10"/>
  <c r="X12" i="22"/>
  <c r="Y12" i="22" s="1"/>
  <c r="AI12" i="22" s="1"/>
  <c r="AA15" i="22"/>
  <c r="AQ41" i="22"/>
  <c r="AR41" i="22" s="1"/>
  <c r="AA54" i="22"/>
  <c r="AA89" i="22"/>
  <c r="V23" i="22"/>
  <c r="AF23" i="22" s="1"/>
  <c r="X34" i="22"/>
  <c r="AH34" i="22" s="1"/>
  <c r="V41" i="22"/>
  <c r="AF41" i="22" s="1"/>
  <c r="AK59" i="22"/>
  <c r="AL59" i="22" s="1"/>
  <c r="AK85" i="22"/>
  <c r="AL85" i="22" s="1"/>
  <c r="AA35" i="10"/>
  <c r="AQ98" i="22"/>
  <c r="AR98" i="22" s="1"/>
  <c r="X59" i="22"/>
  <c r="Y59" i="22" s="1"/>
  <c r="AI59" i="22" s="1"/>
  <c r="AN59" i="22"/>
  <c r="AO59" i="22" s="1"/>
  <c r="AA14" i="22"/>
  <c r="AA59" i="22"/>
  <c r="AA56" i="10"/>
  <c r="Z41" i="22"/>
  <c r="V45" i="22"/>
  <c r="AA50" i="22"/>
  <c r="V55" i="22"/>
  <c r="AF55" i="22" s="1"/>
  <c r="AK45" i="22"/>
  <c r="AL45" i="22" s="1"/>
  <c r="X43" i="22"/>
  <c r="AH43" i="22" s="1"/>
  <c r="Z58" i="22"/>
  <c r="AQ58" i="22"/>
  <c r="AR58" i="22" s="1"/>
  <c r="X62" i="22"/>
  <c r="Y62" i="22" s="1"/>
  <c r="AI62" i="22" s="1"/>
  <c r="AE64" i="10"/>
  <c r="X15" i="22"/>
  <c r="AH15" i="22" s="1"/>
  <c r="AN42" i="22"/>
  <c r="AO42" i="22" s="1"/>
  <c r="Z54" i="22"/>
  <c r="AQ54" i="22"/>
  <c r="AR54" i="22" s="1"/>
  <c r="AA58" i="22"/>
  <c r="V86" i="22"/>
  <c r="AF86" i="22" s="1"/>
  <c r="V89" i="22"/>
  <c r="AF89" i="22" s="1"/>
  <c r="AK92" i="22"/>
  <c r="AL92" i="22" s="1"/>
  <c r="Z93" i="22"/>
  <c r="V96" i="22"/>
  <c r="AF96" i="22" s="1"/>
  <c r="AA98" i="22"/>
  <c r="Z35" i="10"/>
  <c r="V13" i="22"/>
  <c r="AF13" i="22" s="1"/>
  <c r="AN23" i="22"/>
  <c r="AO23" i="22" s="1"/>
  <c r="AA42" i="22"/>
  <c r="AQ42" i="22"/>
  <c r="AR42" i="22" s="1"/>
  <c r="AA49" i="22"/>
  <c r="AE55" i="22"/>
  <c r="V56" i="22"/>
  <c r="AF56" i="22" s="1"/>
  <c r="Z70" i="22"/>
  <c r="V73" i="22"/>
  <c r="AF73" i="22" s="1"/>
  <c r="X92" i="22"/>
  <c r="Y92" i="22" s="1"/>
  <c r="AI92" i="22" s="1"/>
  <c r="AN92" i="22"/>
  <c r="AO92" i="22" s="1"/>
  <c r="AA19" i="10"/>
  <c r="AE45" i="22"/>
  <c r="V81" i="22"/>
  <c r="AF81" i="22" s="1"/>
  <c r="V34" i="22"/>
  <c r="W34" i="22" s="1"/>
  <c r="AG34" i="22" s="1"/>
  <c r="Z81" i="22"/>
  <c r="AA97" i="22"/>
  <c r="AQ35" i="10"/>
  <c r="AR35" i="10" s="1"/>
  <c r="AQ43" i="10"/>
  <c r="AR43" i="10" s="1"/>
  <c r="AE5" i="22"/>
  <c r="Z6" i="22"/>
  <c r="AQ6" i="22"/>
  <c r="AR6" i="22" s="1"/>
  <c r="Z12" i="22"/>
  <c r="Z18" i="22"/>
  <c r="V31" i="22"/>
  <c r="W31" i="22" s="1"/>
  <c r="AG31" i="22" s="1"/>
  <c r="AA41" i="22"/>
  <c r="Z46" i="22"/>
  <c r="AQ46" i="22"/>
  <c r="AR46" i="22" s="1"/>
  <c r="X50" i="22"/>
  <c r="AH50" i="22" s="1"/>
  <c r="AQ50" i="22"/>
  <c r="AR50" i="22" s="1"/>
  <c r="V57" i="22"/>
  <c r="AF57" i="22" s="1"/>
  <c r="Z62" i="22"/>
  <c r="V74" i="22"/>
  <c r="W74" i="22" s="1"/>
  <c r="AG74" i="22" s="1"/>
  <c r="AN74" i="22"/>
  <c r="AO74" i="22" s="1"/>
  <c r="X84" i="22"/>
  <c r="Y84" i="22" s="1"/>
  <c r="AI84" i="22" s="1"/>
  <c r="X95" i="22"/>
  <c r="Z97" i="22"/>
  <c r="AQ97" i="22"/>
  <c r="AR97" i="22" s="1"/>
  <c r="AE32" i="10"/>
  <c r="Z43" i="10"/>
  <c r="AN88" i="10"/>
  <c r="AO88" i="10" s="1"/>
  <c r="AA6" i="22"/>
  <c r="AA18" i="22"/>
  <c r="AA46" i="22"/>
  <c r="Z57" i="22"/>
  <c r="AQ57" i="22"/>
  <c r="AR57" i="22" s="1"/>
  <c r="X74" i="22"/>
  <c r="AH74" i="22" s="1"/>
  <c r="AE39" i="22"/>
  <c r="AA57" i="22"/>
  <c r="Z74" i="22"/>
  <c r="AQ74" i="22"/>
  <c r="AR74" i="22" s="1"/>
  <c r="V102" i="22"/>
  <c r="AF102" i="22" s="1"/>
  <c r="AE24" i="10"/>
  <c r="AE72" i="10"/>
  <c r="AE79" i="10"/>
  <c r="AK4" i="22"/>
  <c r="AL4" i="22" s="1"/>
  <c r="V5" i="22"/>
  <c r="AN15" i="22"/>
  <c r="AO15" i="22" s="1"/>
  <c r="Z17" i="22"/>
  <c r="AQ17" i="22"/>
  <c r="AR17" i="22" s="1"/>
  <c r="AA23" i="22"/>
  <c r="AA34" i="22"/>
  <c r="V39" i="22"/>
  <c r="V80" i="22"/>
  <c r="AF80" i="22" s="1"/>
  <c r="V82" i="22"/>
  <c r="W82" i="22" s="1"/>
  <c r="AG82" i="22" s="1"/>
  <c r="V94" i="22"/>
  <c r="AF94" i="22" s="1"/>
  <c r="AQ94" i="22"/>
  <c r="AR94" i="22" s="1"/>
  <c r="Z102" i="22"/>
  <c r="AQ102" i="22"/>
  <c r="AR102" i="22" s="1"/>
  <c r="AN5" i="10"/>
  <c r="AO5" i="10" s="1"/>
  <c r="AN8" i="10"/>
  <c r="AO8" i="10" s="1"/>
  <c r="AN7" i="22"/>
  <c r="AO7" i="22" s="1"/>
  <c r="AA17" i="22"/>
  <c r="AN19" i="22"/>
  <c r="AO19" i="22" s="1"/>
  <c r="AN47" i="22"/>
  <c r="AO47" i="22" s="1"/>
  <c r="X55" i="22"/>
  <c r="AE62" i="22"/>
  <c r="Z94" i="22"/>
  <c r="AA102" i="22"/>
  <c r="AA32" i="10"/>
  <c r="AN36" i="10"/>
  <c r="AO36" i="10" s="1"/>
  <c r="AA87" i="10"/>
  <c r="AE95" i="10"/>
  <c r="AN4" i="22"/>
  <c r="AO4" i="22" s="1"/>
  <c r="X7" i="22"/>
  <c r="Y7" i="22" s="1"/>
  <c r="AI7" i="22" s="1"/>
  <c r="V9" i="22"/>
  <c r="AF9" i="22" s="1"/>
  <c r="X19" i="22"/>
  <c r="Y19" i="22" s="1"/>
  <c r="AI19" i="22" s="1"/>
  <c r="Z38" i="22"/>
  <c r="AQ38" i="22"/>
  <c r="AR38" i="22" s="1"/>
  <c r="X39" i="22"/>
  <c r="X47" i="22"/>
  <c r="AH47" i="22" s="1"/>
  <c r="AN58" i="22"/>
  <c r="AO58" i="22" s="1"/>
  <c r="AN98" i="22"/>
  <c r="AO98" i="22" s="1"/>
  <c r="AQ11" i="10"/>
  <c r="AR11" i="10" s="1"/>
  <c r="AE16" i="10"/>
  <c r="AN84" i="10"/>
  <c r="AO84" i="10" s="1"/>
  <c r="AA7" i="22"/>
  <c r="AQ7" i="22"/>
  <c r="AR7" i="22" s="1"/>
  <c r="Z9" i="22"/>
  <c r="AQ14" i="22"/>
  <c r="AR14" i="22" s="1"/>
  <c r="AA19" i="22"/>
  <c r="AQ19" i="22"/>
  <c r="AR19" i="22" s="1"/>
  <c r="V33" i="22"/>
  <c r="AF33" i="22" s="1"/>
  <c r="AA38" i="22"/>
  <c r="AA47" i="22"/>
  <c r="AA55" i="22"/>
  <c r="AN55" i="22"/>
  <c r="AO55" i="22" s="1"/>
  <c r="V78" i="22"/>
  <c r="AF78" i="22" s="1"/>
  <c r="AQ81" i="22"/>
  <c r="AR81" i="22" s="1"/>
  <c r="Z98" i="22"/>
  <c r="Z15" i="10"/>
  <c r="AE48" i="10"/>
  <c r="AA64" i="10"/>
  <c r="AN18" i="22"/>
  <c r="AO18" i="22" s="1"/>
  <c r="AE60" i="10"/>
  <c r="AQ27" i="22"/>
  <c r="AR27" i="22" s="1"/>
  <c r="AK27" i="22"/>
  <c r="AL27" i="22" s="1"/>
  <c r="AN27" i="22"/>
  <c r="AO27" i="22" s="1"/>
  <c r="X27" i="22"/>
  <c r="AH27" i="22" s="1"/>
  <c r="AK71" i="22"/>
  <c r="AL71" i="22" s="1"/>
  <c r="AN71" i="22"/>
  <c r="AO71" i="22" s="1"/>
  <c r="AA71" i="22"/>
  <c r="X71" i="22"/>
  <c r="AQ71" i="22"/>
  <c r="AR71" i="22" s="1"/>
  <c r="AE71" i="22"/>
  <c r="V71" i="22"/>
  <c r="AQ28" i="10"/>
  <c r="AR28" i="10" s="1"/>
  <c r="AE28" i="10"/>
  <c r="AN28" i="10"/>
  <c r="AO28" i="10" s="1"/>
  <c r="AA28" i="10"/>
  <c r="Z29" i="22"/>
  <c r="V29" i="22"/>
  <c r="AF29" i="22" s="1"/>
  <c r="AK29" i="22"/>
  <c r="AL29" i="22" s="1"/>
  <c r="AE29" i="22"/>
  <c r="AK66" i="22"/>
  <c r="AL66" i="22" s="1"/>
  <c r="AQ66" i="22"/>
  <c r="AR66" i="22" s="1"/>
  <c r="AN66" i="22"/>
  <c r="AO66" i="22" s="1"/>
  <c r="AA66" i="22"/>
  <c r="Z66" i="22"/>
  <c r="V66" i="22"/>
  <c r="W66" i="22" s="1"/>
  <c r="AG66" i="22" s="1"/>
  <c r="AE66" i="22"/>
  <c r="X66" i="22"/>
  <c r="AH66" i="22" s="1"/>
  <c r="AN25" i="22"/>
  <c r="AO25" i="22" s="1"/>
  <c r="AA25" i="22"/>
  <c r="AQ25" i="22"/>
  <c r="AR25" i="22" s="1"/>
  <c r="Z25" i="22"/>
  <c r="V25" i="22"/>
  <c r="AF25" i="22" s="1"/>
  <c r="AQ88" i="22"/>
  <c r="AR88" i="22" s="1"/>
  <c r="V88" i="22"/>
  <c r="AF88" i="22" s="1"/>
  <c r="AE69" i="22"/>
  <c r="Z69" i="22"/>
  <c r="AK69" i="22"/>
  <c r="AL69" i="22" s="1"/>
  <c r="AQ75" i="22"/>
  <c r="AR75" i="22" s="1"/>
  <c r="AK75" i="22"/>
  <c r="AL75" i="22" s="1"/>
  <c r="X75" i="22"/>
  <c r="AH75" i="22" s="1"/>
  <c r="AK26" i="22"/>
  <c r="AL26" i="22" s="1"/>
  <c r="AQ26" i="22"/>
  <c r="AR26" i="22" s="1"/>
  <c r="AA26" i="22"/>
  <c r="AN26" i="22"/>
  <c r="AO26" i="22" s="1"/>
  <c r="Z26" i="22"/>
  <c r="AQ83" i="22"/>
  <c r="AR83" i="22" s="1"/>
  <c r="AA83" i="22"/>
  <c r="AN83" i="22"/>
  <c r="AO83" i="22" s="1"/>
  <c r="X83" i="22"/>
  <c r="AH83" i="22" s="1"/>
  <c r="AK83" i="22"/>
  <c r="AL83" i="22" s="1"/>
  <c r="AQ99" i="22"/>
  <c r="AR99" i="22" s="1"/>
  <c r="AK99" i="22"/>
  <c r="AL99" i="22" s="1"/>
  <c r="X99" i="22"/>
  <c r="AH99" i="22" s="1"/>
  <c r="AN99" i="22"/>
  <c r="AO99" i="22" s="1"/>
  <c r="AA12" i="10"/>
  <c r="AN12" i="10"/>
  <c r="AO12" i="10" s="1"/>
  <c r="AE12" i="10"/>
  <c r="V26" i="22"/>
  <c r="AF26" i="22" s="1"/>
  <c r="AN30" i="22"/>
  <c r="AO30" i="22" s="1"/>
  <c r="AQ30" i="22"/>
  <c r="AR30" i="22" s="1"/>
  <c r="AA30" i="22"/>
  <c r="Z30" i="22"/>
  <c r="AQ48" i="22"/>
  <c r="AR48" i="22" s="1"/>
  <c r="V48" i="22"/>
  <c r="AF48" i="22" s="1"/>
  <c r="AK79" i="22"/>
  <c r="AL79" i="22" s="1"/>
  <c r="AN79" i="22"/>
  <c r="AO79" i="22" s="1"/>
  <c r="AA79" i="22"/>
  <c r="X79" i="22"/>
  <c r="AE79" i="22"/>
  <c r="V79" i="22"/>
  <c r="AQ79" i="22"/>
  <c r="AR79" i="22" s="1"/>
  <c r="AN91" i="22"/>
  <c r="AO91" i="22" s="1"/>
  <c r="AQ91" i="22"/>
  <c r="AR91" i="22" s="1"/>
  <c r="AA91" i="22"/>
  <c r="AA7" i="10"/>
  <c r="Z7" i="10"/>
  <c r="AQ7" i="10"/>
  <c r="AR7" i="10" s="1"/>
  <c r="AN7" i="10"/>
  <c r="AO7" i="10" s="1"/>
  <c r="AE7" i="10"/>
  <c r="X26" i="22"/>
  <c r="AH26" i="22" s="1"/>
  <c r="V30" i="22"/>
  <c r="AE37" i="22"/>
  <c r="AK37" i="22"/>
  <c r="AL37" i="22" s="1"/>
  <c r="Z37" i="22"/>
  <c r="AN22" i="22"/>
  <c r="AO22" i="22" s="1"/>
  <c r="AQ22" i="22"/>
  <c r="AR22" i="22" s="1"/>
  <c r="AA22" i="22"/>
  <c r="Z22" i="22"/>
  <c r="V22" i="22"/>
  <c r="AN65" i="22"/>
  <c r="AO65" i="22" s="1"/>
  <c r="AA65" i="22"/>
  <c r="AQ65" i="22"/>
  <c r="AR65" i="22" s="1"/>
  <c r="Z65" i="22"/>
  <c r="V65" i="22"/>
  <c r="AF65" i="22" s="1"/>
  <c r="AK87" i="22"/>
  <c r="AL87" i="22" s="1"/>
  <c r="AA87" i="22"/>
  <c r="X87" i="22"/>
  <c r="AQ87" i="22"/>
  <c r="AR87" i="22" s="1"/>
  <c r="AE87" i="22"/>
  <c r="V87" i="22"/>
  <c r="AQ52" i="10"/>
  <c r="AR52" i="10" s="1"/>
  <c r="AA52" i="10"/>
  <c r="AN52" i="10"/>
  <c r="AO52" i="10" s="1"/>
  <c r="AE52" i="10"/>
  <c r="AN55" i="10"/>
  <c r="AO55" i="10" s="1"/>
  <c r="AA55" i="10"/>
  <c r="AQ55" i="10"/>
  <c r="AR55" i="10" s="1"/>
  <c r="Z55" i="10"/>
  <c r="AK10" i="22"/>
  <c r="AL10" i="22" s="1"/>
  <c r="AN10" i="22"/>
  <c r="AO10" i="22" s="1"/>
  <c r="AA10" i="22"/>
  <c r="Z10" i="22"/>
  <c r="X10" i="22"/>
  <c r="AH10" i="22" s="1"/>
  <c r="AE10" i="22"/>
  <c r="V10" i="22"/>
  <c r="AE61" i="22"/>
  <c r="AK61" i="22"/>
  <c r="AL61" i="22" s="1"/>
  <c r="AK63" i="22"/>
  <c r="AL63" i="22" s="1"/>
  <c r="AN63" i="22"/>
  <c r="AO63" i="22" s="1"/>
  <c r="AA63" i="22"/>
  <c r="X63" i="22"/>
  <c r="AE63" i="22"/>
  <c r="V63" i="22"/>
  <c r="AQ63" i="22"/>
  <c r="AR63" i="22" s="1"/>
  <c r="AE31" i="22"/>
  <c r="AQ31" i="22"/>
  <c r="AR31" i="22" s="1"/>
  <c r="AE78" i="22"/>
  <c r="AE82" i="22"/>
  <c r="AN84" i="22"/>
  <c r="AO84" i="22" s="1"/>
  <c r="AE86" i="22"/>
  <c r="AK90" i="22"/>
  <c r="AL90" i="22" s="1"/>
  <c r="AN90" i="22"/>
  <c r="AO90" i="22" s="1"/>
  <c r="Z90" i="22"/>
  <c r="AQ40" i="10"/>
  <c r="AR40" i="10" s="1"/>
  <c r="AE40" i="10"/>
  <c r="AK12" i="22"/>
  <c r="AL12" i="22" s="1"/>
  <c r="AQ18" i="22"/>
  <c r="AR18" i="22" s="1"/>
  <c r="AQ23" i="22"/>
  <c r="AR23" i="22" s="1"/>
  <c r="Z33" i="22"/>
  <c r="AQ33" i="22"/>
  <c r="AR33" i="22" s="1"/>
  <c r="Z34" i="22"/>
  <c r="AA39" i="22"/>
  <c r="AN39" i="22"/>
  <c r="AO39" i="22" s="1"/>
  <c r="AE50" i="22"/>
  <c r="AK60" i="22"/>
  <c r="AL60" i="22" s="1"/>
  <c r="AA62" i="22"/>
  <c r="AA70" i="22"/>
  <c r="AQ70" i="22"/>
  <c r="AR70" i="22" s="1"/>
  <c r="Z73" i="22"/>
  <c r="AQ73" i="22"/>
  <c r="AR73" i="22" s="1"/>
  <c r="AA74" i="22"/>
  <c r="X82" i="22"/>
  <c r="AH82" i="22" s="1"/>
  <c r="AN89" i="22"/>
  <c r="AO89" i="22" s="1"/>
  <c r="Z89" i="22"/>
  <c r="X90" i="22"/>
  <c r="Y90" i="22" s="1"/>
  <c r="AI90" i="22" s="1"/>
  <c r="AN23" i="10"/>
  <c r="AO23" i="10" s="1"/>
  <c r="AA23" i="10"/>
  <c r="Z23" i="10"/>
  <c r="AQ23" i="10"/>
  <c r="AR23" i="10" s="1"/>
  <c r="AE14" i="22"/>
  <c r="X31" i="22"/>
  <c r="AH31" i="22" s="1"/>
  <c r="AA33" i="22"/>
  <c r="AE42" i="22"/>
  <c r="AN51" i="22"/>
  <c r="AO51" i="22" s="1"/>
  <c r="AK68" i="22"/>
  <c r="AL68" i="22" s="1"/>
  <c r="AA73" i="22"/>
  <c r="Z78" i="22"/>
  <c r="Z82" i="22"/>
  <c r="AN82" i="22"/>
  <c r="AO82" i="22" s="1"/>
  <c r="Z86" i="22"/>
  <c r="AA90" i="22"/>
  <c r="AQ90" i="22"/>
  <c r="AR90" i="22" s="1"/>
  <c r="AE4" i="10"/>
  <c r="AQ4" i="10"/>
  <c r="AR4" i="10" s="1"/>
  <c r="Z4" i="10"/>
  <c r="AN4" i="10"/>
  <c r="AO4" i="10" s="1"/>
  <c r="AE4" i="22"/>
  <c r="AE6" i="22"/>
  <c r="AE7" i="22"/>
  <c r="V14" i="22"/>
  <c r="AQ15" i="22"/>
  <c r="AR15" i="22" s="1"/>
  <c r="V18" i="22"/>
  <c r="AE18" i="22"/>
  <c r="AA31" i="22"/>
  <c r="AN34" i="22"/>
  <c r="AO34" i="22" s="1"/>
  <c r="AE38" i="22"/>
  <c r="V42" i="22"/>
  <c r="AF42" i="22" s="1"/>
  <c r="AE46" i="22"/>
  <c r="AE47" i="22"/>
  <c r="AQ47" i="22"/>
  <c r="AR47" i="22" s="1"/>
  <c r="X51" i="22"/>
  <c r="AH51" i="22" s="1"/>
  <c r="AE54" i="22"/>
  <c r="AE58" i="22"/>
  <c r="AN60" i="22"/>
  <c r="AO60" i="22" s="1"/>
  <c r="AQ62" i="22"/>
  <c r="AR62" i="22" s="1"/>
  <c r="X68" i="22"/>
  <c r="AA78" i="22"/>
  <c r="AQ78" i="22"/>
  <c r="AR78" i="22" s="1"/>
  <c r="AA82" i="22"/>
  <c r="AA86" i="22"/>
  <c r="AQ86" i="22"/>
  <c r="AR86" i="22" s="1"/>
  <c r="AA100" i="10"/>
  <c r="AN100" i="10"/>
  <c r="AO100" i="10" s="1"/>
  <c r="AE100" i="10"/>
  <c r="V4" i="22"/>
  <c r="V6" i="22"/>
  <c r="V7" i="22"/>
  <c r="AA9" i="22"/>
  <c r="AQ9" i="22"/>
  <c r="AR9" i="22" s="1"/>
  <c r="AA11" i="22"/>
  <c r="V15" i="22"/>
  <c r="AE15" i="22"/>
  <c r="V17" i="22"/>
  <c r="AF17" i="22" s="1"/>
  <c r="X23" i="22"/>
  <c r="AN31" i="22"/>
  <c r="AO31" i="22" s="1"/>
  <c r="V38" i="22"/>
  <c r="AQ39" i="22"/>
  <c r="AR39" i="22" s="1"/>
  <c r="X42" i="22"/>
  <c r="AH42" i="22" s="1"/>
  <c r="V46" i="22"/>
  <c r="V47" i="22"/>
  <c r="V49" i="22"/>
  <c r="AF49" i="22" s="1"/>
  <c r="Z50" i="22"/>
  <c r="AN50" i="22"/>
  <c r="AO50" i="22" s="1"/>
  <c r="V54" i="22"/>
  <c r="AQ55" i="22"/>
  <c r="AR55" i="22" s="1"/>
  <c r="V58" i="22"/>
  <c r="W58" i="22" s="1"/>
  <c r="AG58" i="22" s="1"/>
  <c r="X60" i="22"/>
  <c r="Y60" i="22" s="1"/>
  <c r="AI60" i="22" s="1"/>
  <c r="V62" i="22"/>
  <c r="AA81" i="22"/>
  <c r="AQ82" i="22"/>
  <c r="AR82" i="22" s="1"/>
  <c r="AA40" i="10"/>
  <c r="Z14" i="22"/>
  <c r="X18" i="22"/>
  <c r="AH18" i="22" s="1"/>
  <c r="AQ34" i="22"/>
  <c r="AR34" i="22" s="1"/>
  <c r="Z42" i="22"/>
  <c r="Z49" i="22"/>
  <c r="AQ49" i="22"/>
  <c r="AR49" i="22" s="1"/>
  <c r="X58" i="22"/>
  <c r="AH58" i="22" s="1"/>
  <c r="AE70" i="22"/>
  <c r="AE74" i="22"/>
  <c r="AK84" i="22"/>
  <c r="AL84" i="22" s="1"/>
  <c r="AN94" i="22"/>
  <c r="AO94" i="22" s="1"/>
  <c r="X94" i="22"/>
  <c r="AA94" i="22"/>
  <c r="AK95" i="22"/>
  <c r="AL95" i="22" s="1"/>
  <c r="AN95" i="22"/>
  <c r="AO95" i="22" s="1"/>
  <c r="AQ95" i="22"/>
  <c r="AR95" i="22" s="1"/>
  <c r="AE95" i="22"/>
  <c r="V95" i="22"/>
  <c r="X98" i="22"/>
  <c r="AH98" i="22" s="1"/>
  <c r="AE102" i="22"/>
  <c r="AE8" i="10"/>
  <c r="Z11" i="10"/>
  <c r="AA16" i="10"/>
  <c r="AN59" i="10"/>
  <c r="AO59" i="10" s="1"/>
  <c r="Z59" i="10"/>
  <c r="AQ59" i="10"/>
  <c r="AR59" i="10" s="1"/>
  <c r="AE5" i="10"/>
  <c r="AN16" i="10"/>
  <c r="AO16" i="10" s="1"/>
  <c r="AQ36" i="10"/>
  <c r="AR36" i="10" s="1"/>
  <c r="AE36" i="10"/>
  <c r="AQ44" i="10"/>
  <c r="AR44" i="10" s="1"/>
  <c r="AN44" i="10"/>
  <c r="AO44" i="10" s="1"/>
  <c r="AE44" i="10"/>
  <c r="Z47" i="10"/>
  <c r="AA71" i="10"/>
  <c r="AQ20" i="10"/>
  <c r="AR20" i="10" s="1"/>
  <c r="AN20" i="10"/>
  <c r="AO20" i="10" s="1"/>
  <c r="AA47" i="10"/>
  <c r="AN51" i="10"/>
  <c r="AO51" i="10" s="1"/>
  <c r="AQ51" i="10"/>
  <c r="AR51" i="10" s="1"/>
  <c r="AA51" i="10"/>
  <c r="AN63" i="10"/>
  <c r="AO63" i="10" s="1"/>
  <c r="AQ63" i="10"/>
  <c r="AR63" i="10" s="1"/>
  <c r="Z63" i="10"/>
  <c r="AA96" i="10"/>
  <c r="AN96" i="10"/>
  <c r="AO96" i="10" s="1"/>
  <c r="AE96" i="10"/>
  <c r="AQ99" i="10"/>
  <c r="AR99" i="10" s="1"/>
  <c r="AA99" i="10"/>
  <c r="AE99" i="10"/>
  <c r="AE20" i="10"/>
  <c r="AN27" i="10"/>
  <c r="AO27" i="10" s="1"/>
  <c r="AQ27" i="10"/>
  <c r="AR27" i="10" s="1"/>
  <c r="Z27" i="10"/>
  <c r="AN31" i="10"/>
  <c r="AO31" i="10" s="1"/>
  <c r="AQ31" i="10"/>
  <c r="AR31" i="10" s="1"/>
  <c r="AN39" i="10"/>
  <c r="AO39" i="10" s="1"/>
  <c r="AQ39" i="10"/>
  <c r="AR39" i="10" s="1"/>
  <c r="Z39" i="10"/>
  <c r="AA59" i="10"/>
  <c r="AQ68" i="10"/>
  <c r="AR68" i="10" s="1"/>
  <c r="AA68" i="10"/>
  <c r="AE68" i="10"/>
  <c r="AE98" i="22"/>
  <c r="AQ15" i="10"/>
  <c r="AR15" i="10" s="1"/>
  <c r="AN19" i="10"/>
  <c r="AO19" i="10" s="1"/>
  <c r="AQ19" i="10"/>
  <c r="AR19" i="10" s="1"/>
  <c r="AA80" i="10"/>
  <c r="AN80" i="10"/>
  <c r="AO80" i="10" s="1"/>
  <c r="AE80" i="10"/>
  <c r="AQ83" i="10"/>
  <c r="AR83" i="10" s="1"/>
  <c r="Z83" i="10"/>
  <c r="AE83" i="10"/>
  <c r="AN83" i="10"/>
  <c r="AO83" i="10" s="1"/>
  <c r="AN24" i="10"/>
  <c r="AO24" i="10" s="1"/>
  <c r="AN48" i="10"/>
  <c r="AO48" i="10" s="1"/>
  <c r="AN60" i="10"/>
  <c r="AO60" i="10" s="1"/>
  <c r="AN72" i="10"/>
  <c r="AO72" i="10" s="1"/>
  <c r="AA75" i="10"/>
  <c r="AN79" i="10"/>
  <c r="AO79" i="10" s="1"/>
  <c r="AE84" i="10"/>
  <c r="Z87" i="10"/>
  <c r="AE88" i="10"/>
  <c r="AA91" i="10"/>
  <c r="AN95" i="10"/>
  <c r="AO95" i="10" s="1"/>
  <c r="AN64" i="10"/>
  <c r="AO64" i="10" s="1"/>
  <c r="AA24" i="10"/>
  <c r="AN32" i="10"/>
  <c r="AO32" i="10" s="1"/>
  <c r="AA48" i="10"/>
  <c r="AA60" i="10"/>
  <c r="AA72" i="10"/>
  <c r="AN76" i="10"/>
  <c r="AO76" i="10" s="1"/>
  <c r="AA79" i="10"/>
  <c r="AE87" i="10"/>
  <c r="AN92" i="10"/>
  <c r="AO92" i="10" s="1"/>
  <c r="AA95" i="10"/>
  <c r="AN56" i="10"/>
  <c r="AO56" i="10" s="1"/>
  <c r="AE76" i="10"/>
  <c r="AE92" i="10"/>
  <c r="AA69" i="10"/>
  <c r="AQ69" i="10"/>
  <c r="AR69" i="10" s="1"/>
  <c r="Z69" i="10"/>
  <c r="AE69" i="10"/>
  <c r="AN69" i="10"/>
  <c r="AO69" i="10" s="1"/>
  <c r="AE52" i="22"/>
  <c r="V52" i="22"/>
  <c r="AQ52" i="22"/>
  <c r="AR52" i="22" s="1"/>
  <c r="AA52" i="22"/>
  <c r="AN52" i="22"/>
  <c r="AO52" i="22" s="1"/>
  <c r="Z52" i="22"/>
  <c r="AK52" i="22"/>
  <c r="AL52" i="22" s="1"/>
  <c r="X52" i="22"/>
  <c r="Z35" i="22"/>
  <c r="AE35" i="22"/>
  <c r="V35" i="22"/>
  <c r="AQ35" i="22"/>
  <c r="AR35" i="22" s="1"/>
  <c r="AN35" i="22"/>
  <c r="AO35" i="22" s="1"/>
  <c r="AA35" i="22"/>
  <c r="AK35" i="22"/>
  <c r="AL35" i="22" s="1"/>
  <c r="X35" i="22"/>
  <c r="AQ53" i="22"/>
  <c r="AR53" i="22" s="1"/>
  <c r="AA53" i="22"/>
  <c r="AN53" i="22"/>
  <c r="AO53" i="22" s="1"/>
  <c r="X53" i="22"/>
  <c r="V53" i="22"/>
  <c r="AE53" i="22"/>
  <c r="Z53" i="22"/>
  <c r="AK53" i="22"/>
  <c r="AL53" i="22" s="1"/>
  <c r="AE76" i="22"/>
  <c r="V76" i="22"/>
  <c r="AQ76" i="22"/>
  <c r="AR76" i="22" s="1"/>
  <c r="AA76" i="22"/>
  <c r="AN76" i="22"/>
  <c r="AO76" i="22" s="1"/>
  <c r="Z76" i="22"/>
  <c r="AK76" i="22"/>
  <c r="AL76" i="22" s="1"/>
  <c r="X76" i="22"/>
  <c r="AE100" i="22"/>
  <c r="V100" i="22"/>
  <c r="AQ100" i="22"/>
  <c r="AR100" i="22" s="1"/>
  <c r="AA100" i="22"/>
  <c r="AN100" i="22"/>
  <c r="AO100" i="22" s="1"/>
  <c r="Z100" i="22"/>
  <c r="AK100" i="22"/>
  <c r="AL100" i="22" s="1"/>
  <c r="X100" i="22"/>
  <c r="Z67" i="22"/>
  <c r="AE67" i="22"/>
  <c r="V67" i="22"/>
  <c r="AQ67" i="22"/>
  <c r="AR67" i="22" s="1"/>
  <c r="AN67" i="22"/>
  <c r="AO67" i="22" s="1"/>
  <c r="AA67" i="22"/>
  <c r="AK67" i="22"/>
  <c r="AL67" i="22" s="1"/>
  <c r="X67" i="22"/>
  <c r="AQ77" i="22"/>
  <c r="AR77" i="22" s="1"/>
  <c r="AA77" i="22"/>
  <c r="AN77" i="22"/>
  <c r="AO77" i="22" s="1"/>
  <c r="X77" i="22"/>
  <c r="V77" i="22"/>
  <c r="AE77" i="22"/>
  <c r="Z77" i="22"/>
  <c r="AK77" i="22"/>
  <c r="AL77" i="22" s="1"/>
  <c r="AQ101" i="22"/>
  <c r="AR101" i="22" s="1"/>
  <c r="AA101" i="22"/>
  <c r="AN101" i="22"/>
  <c r="AO101" i="22" s="1"/>
  <c r="X101" i="22"/>
  <c r="V101" i="22"/>
  <c r="AE101" i="22"/>
  <c r="Z101" i="22"/>
  <c r="AK101" i="22"/>
  <c r="AL101" i="22" s="1"/>
  <c r="AE20" i="22"/>
  <c r="V20" i="22"/>
  <c r="AQ20" i="22"/>
  <c r="AR20" i="22" s="1"/>
  <c r="AA20" i="22"/>
  <c r="AN20" i="22"/>
  <c r="AO20" i="22" s="1"/>
  <c r="AK20" i="22"/>
  <c r="AL20" i="22" s="1"/>
  <c r="Z20" i="22"/>
  <c r="X20" i="22"/>
  <c r="AQ5" i="22"/>
  <c r="AR5" i="22" s="1"/>
  <c r="AA5" i="22"/>
  <c r="AN5" i="22"/>
  <c r="AO5" i="22" s="1"/>
  <c r="X5" i="22"/>
  <c r="AA27" i="22"/>
  <c r="AE28" i="22"/>
  <c r="V28" i="22"/>
  <c r="AQ28" i="22"/>
  <c r="AR28" i="22" s="1"/>
  <c r="AA28" i="22"/>
  <c r="Z43" i="22"/>
  <c r="AE43" i="22"/>
  <c r="V43" i="22"/>
  <c r="AA51" i="22"/>
  <c r="Z61" i="22"/>
  <c r="AE68" i="22"/>
  <c r="V68" i="22"/>
  <c r="AQ68" i="22"/>
  <c r="AR68" i="22" s="1"/>
  <c r="AA68" i="22"/>
  <c r="AQ69" i="22"/>
  <c r="AR69" i="22" s="1"/>
  <c r="AA69" i="22"/>
  <c r="AN69" i="22"/>
  <c r="AO69" i="22" s="1"/>
  <c r="X69" i="22"/>
  <c r="V69" i="22"/>
  <c r="AA75" i="22"/>
  <c r="Z85" i="22"/>
  <c r="AA99" i="22"/>
  <c r="AA17" i="10"/>
  <c r="AQ17" i="10"/>
  <c r="AR17" i="10" s="1"/>
  <c r="Z17" i="10"/>
  <c r="AE17" i="10"/>
  <c r="AN17" i="10"/>
  <c r="AO17" i="10" s="1"/>
  <c r="AQ62" i="10"/>
  <c r="AR62" i="10" s="1"/>
  <c r="Z62" i="10"/>
  <c r="AN62" i="10"/>
  <c r="AO62" i="10" s="1"/>
  <c r="AE62" i="10"/>
  <c r="AA81" i="10"/>
  <c r="AQ81" i="10"/>
  <c r="AR81" i="10" s="1"/>
  <c r="Z81" i="10"/>
  <c r="AE81" i="10"/>
  <c r="AN81" i="10"/>
  <c r="AO81" i="10" s="1"/>
  <c r="AQ13" i="22"/>
  <c r="AR13" i="22" s="1"/>
  <c r="AA13" i="22"/>
  <c r="AN13" i="22"/>
  <c r="AO13" i="22" s="1"/>
  <c r="X13" i="22"/>
  <c r="AE36" i="22"/>
  <c r="V36" i="22"/>
  <c r="AQ36" i="22"/>
  <c r="AR36" i="22" s="1"/>
  <c r="AA36" i="22"/>
  <c r="AA57" i="10"/>
  <c r="AQ57" i="10"/>
  <c r="AR57" i="10" s="1"/>
  <c r="Z57" i="10"/>
  <c r="AE57" i="10"/>
  <c r="AN57" i="10"/>
  <c r="AO57" i="10" s="1"/>
  <c r="AQ78" i="10"/>
  <c r="AR78" i="10" s="1"/>
  <c r="Z78" i="10"/>
  <c r="AN78" i="10"/>
  <c r="AO78" i="10" s="1"/>
  <c r="AE78" i="10"/>
  <c r="AQ8" i="22"/>
  <c r="AR8" i="22" s="1"/>
  <c r="AA8" i="22"/>
  <c r="Z8" i="22"/>
  <c r="AN8" i="22"/>
  <c r="AO8" i="22" s="1"/>
  <c r="X8" i="22"/>
  <c r="AE8" i="22"/>
  <c r="AK8" i="22"/>
  <c r="AL8" i="22" s="1"/>
  <c r="AQ21" i="22"/>
  <c r="AR21" i="22" s="1"/>
  <c r="AA21" i="22"/>
  <c r="AN21" i="22"/>
  <c r="AO21" i="22" s="1"/>
  <c r="X21" i="22"/>
  <c r="AE44" i="22"/>
  <c r="V44" i="22"/>
  <c r="AQ44" i="22"/>
  <c r="AR44" i="22" s="1"/>
  <c r="AA44" i="22"/>
  <c r="AQ34" i="10"/>
  <c r="AR34" i="10" s="1"/>
  <c r="Z34" i="10"/>
  <c r="AN34" i="10"/>
  <c r="AO34" i="10" s="1"/>
  <c r="AE34" i="10"/>
  <c r="AA34" i="10"/>
  <c r="AQ46" i="10"/>
  <c r="AR46" i="10" s="1"/>
  <c r="Z46" i="10"/>
  <c r="AN46" i="10"/>
  <c r="AO46" i="10" s="1"/>
  <c r="AE46" i="10"/>
  <c r="Z5" i="22"/>
  <c r="V8" i="22"/>
  <c r="AK13" i="22"/>
  <c r="AL13" i="22" s="1"/>
  <c r="AQ16" i="22"/>
  <c r="AR16" i="22" s="1"/>
  <c r="AA16" i="22"/>
  <c r="Z16" i="22"/>
  <c r="AN16" i="22"/>
  <c r="AO16" i="22" s="1"/>
  <c r="X16" i="22"/>
  <c r="AE16" i="22"/>
  <c r="AK16" i="22"/>
  <c r="AL16" i="22" s="1"/>
  <c r="V21" i="22"/>
  <c r="Z28" i="22"/>
  <c r="AK28" i="22"/>
  <c r="AL28" i="22" s="1"/>
  <c r="AQ29" i="22"/>
  <c r="AR29" i="22" s="1"/>
  <c r="AA29" i="22"/>
  <c r="AN29" i="22"/>
  <c r="AO29" i="22" s="1"/>
  <c r="X29" i="22"/>
  <c r="AN43" i="22"/>
  <c r="AO43" i="22" s="1"/>
  <c r="X44" i="22"/>
  <c r="AN68" i="22"/>
  <c r="AO68" i="22" s="1"/>
  <c r="Z11" i="22"/>
  <c r="AE11" i="22"/>
  <c r="V11" i="22"/>
  <c r="Z13" i="22"/>
  <c r="AK21" i="22"/>
  <c r="AL21" i="22" s="1"/>
  <c r="AQ24" i="22"/>
  <c r="AR24" i="22" s="1"/>
  <c r="AA24" i="22"/>
  <c r="Z24" i="22"/>
  <c r="AN24" i="22"/>
  <c r="AO24" i="22" s="1"/>
  <c r="X24" i="22"/>
  <c r="AE24" i="22"/>
  <c r="AK24" i="22"/>
  <c r="AL24" i="22" s="1"/>
  <c r="Z36" i="22"/>
  <c r="AK36" i="22"/>
  <c r="AL36" i="22" s="1"/>
  <c r="AQ37" i="22"/>
  <c r="AR37" i="22" s="1"/>
  <c r="AA37" i="22"/>
  <c r="AN37" i="22"/>
  <c r="AO37" i="22" s="1"/>
  <c r="X37" i="22"/>
  <c r="Z91" i="22"/>
  <c r="AE91" i="22"/>
  <c r="V91" i="22"/>
  <c r="X11" i="22"/>
  <c r="AK11" i="22"/>
  <c r="AL11" i="22" s="1"/>
  <c r="Z19" i="22"/>
  <c r="AE19" i="22"/>
  <c r="V19" i="22"/>
  <c r="Z21" i="22"/>
  <c r="V24" i="22"/>
  <c r="AN28" i="22"/>
  <c r="AO28" i="22" s="1"/>
  <c r="AQ32" i="22"/>
  <c r="AR32" i="22" s="1"/>
  <c r="AA32" i="22"/>
  <c r="Z32" i="22"/>
  <c r="AN32" i="22"/>
  <c r="AO32" i="22" s="1"/>
  <c r="X32" i="22"/>
  <c r="AE32" i="22"/>
  <c r="AK32" i="22"/>
  <c r="AL32" i="22" s="1"/>
  <c r="V37" i="22"/>
  <c r="AQ43" i="22"/>
  <c r="AR43" i="22" s="1"/>
  <c r="Z44" i="22"/>
  <c r="AK44" i="22"/>
  <c r="AL44" i="22" s="1"/>
  <c r="AQ45" i="22"/>
  <c r="AR45" i="22" s="1"/>
  <c r="AA45" i="22"/>
  <c r="AN45" i="22"/>
  <c r="AO45" i="22" s="1"/>
  <c r="X45" i="22"/>
  <c r="Z59" i="22"/>
  <c r="AE59" i="22"/>
  <c r="V59" i="22"/>
  <c r="Z83" i="22"/>
  <c r="AE83" i="22"/>
  <c r="V83" i="22"/>
  <c r="X91" i="22"/>
  <c r="AK91" i="22"/>
  <c r="AL91" i="22" s="1"/>
  <c r="AE92" i="22"/>
  <c r="V92" i="22"/>
  <c r="AQ92" i="22"/>
  <c r="AR92" i="22" s="1"/>
  <c r="AA92" i="22"/>
  <c r="AQ93" i="22"/>
  <c r="AR93" i="22" s="1"/>
  <c r="AA93" i="22"/>
  <c r="AN93" i="22"/>
  <c r="AO93" i="22" s="1"/>
  <c r="X93" i="22"/>
  <c r="V93" i="22"/>
  <c r="AQ18" i="10"/>
  <c r="AR18" i="10" s="1"/>
  <c r="Z18" i="10"/>
  <c r="AN18" i="10"/>
  <c r="AO18" i="10" s="1"/>
  <c r="AE18" i="10"/>
  <c r="AA18" i="10"/>
  <c r="AA33" i="10"/>
  <c r="AQ33" i="10"/>
  <c r="AR33" i="10" s="1"/>
  <c r="Z33" i="10"/>
  <c r="AE33" i="10"/>
  <c r="AN33" i="10"/>
  <c r="AO33" i="10" s="1"/>
  <c r="AA62" i="10"/>
  <c r="AQ82" i="10"/>
  <c r="AR82" i="10" s="1"/>
  <c r="Z82" i="10"/>
  <c r="AN82" i="10"/>
  <c r="AO82" i="10" s="1"/>
  <c r="AE82" i="10"/>
  <c r="AA82" i="10"/>
  <c r="AE12" i="22"/>
  <c r="V12" i="22"/>
  <c r="AQ12" i="22"/>
  <c r="AR12" i="22" s="1"/>
  <c r="AA12" i="22"/>
  <c r="Z27" i="22"/>
  <c r="AE27" i="22"/>
  <c r="V27" i="22"/>
  <c r="AN36" i="22"/>
  <c r="AO36" i="22" s="1"/>
  <c r="AQ40" i="22"/>
  <c r="AR40" i="22" s="1"/>
  <c r="AA40" i="22"/>
  <c r="Z40" i="22"/>
  <c r="AN40" i="22"/>
  <c r="AO40" i="22" s="1"/>
  <c r="X40" i="22"/>
  <c r="AE40" i="22"/>
  <c r="AK40" i="22"/>
  <c r="AL40" i="22" s="1"/>
  <c r="Z51" i="22"/>
  <c r="AE51" i="22"/>
  <c r="V51" i="22"/>
  <c r="AE60" i="22"/>
  <c r="V60" i="22"/>
  <c r="AQ60" i="22"/>
  <c r="AR60" i="22" s="1"/>
  <c r="AA60" i="22"/>
  <c r="AQ61" i="22"/>
  <c r="AR61" i="22" s="1"/>
  <c r="AA61" i="22"/>
  <c r="AN61" i="22"/>
  <c r="AO61" i="22" s="1"/>
  <c r="X61" i="22"/>
  <c r="V61" i="22"/>
  <c r="Z75" i="22"/>
  <c r="AE75" i="22"/>
  <c r="V75" i="22"/>
  <c r="AE84" i="22"/>
  <c r="V84" i="22"/>
  <c r="AQ84" i="22"/>
  <c r="AR84" i="22" s="1"/>
  <c r="AA84" i="22"/>
  <c r="AQ85" i="22"/>
  <c r="AR85" i="22" s="1"/>
  <c r="AA85" i="22"/>
  <c r="AN85" i="22"/>
  <c r="AO85" i="22" s="1"/>
  <c r="X85" i="22"/>
  <c r="V85" i="22"/>
  <c r="Z99" i="22"/>
  <c r="AE99" i="22"/>
  <c r="V99" i="22"/>
  <c r="AA78" i="10"/>
  <c r="AK48" i="22"/>
  <c r="AL48" i="22" s="1"/>
  <c r="AK56" i="22"/>
  <c r="AL56" i="22" s="1"/>
  <c r="AK64" i="22"/>
  <c r="AL64" i="22" s="1"/>
  <c r="AK72" i="22"/>
  <c r="AL72" i="22" s="1"/>
  <c r="AK80" i="22"/>
  <c r="AL80" i="22" s="1"/>
  <c r="AK88" i="22"/>
  <c r="AL88" i="22" s="1"/>
  <c r="AK96" i="22"/>
  <c r="AL96" i="22" s="1"/>
  <c r="AQ26" i="10"/>
  <c r="AR26" i="10" s="1"/>
  <c r="Z26" i="10"/>
  <c r="AN26" i="10"/>
  <c r="AO26" i="10" s="1"/>
  <c r="AE26" i="10"/>
  <c r="AQ42" i="10"/>
  <c r="AR42" i="10" s="1"/>
  <c r="Z42" i="10"/>
  <c r="AN42" i="10"/>
  <c r="AO42" i="10" s="1"/>
  <c r="AE42" i="10"/>
  <c r="AA49" i="10"/>
  <c r="AQ49" i="10"/>
  <c r="AR49" i="10" s="1"/>
  <c r="Z49" i="10"/>
  <c r="AE49" i="10"/>
  <c r="AN49" i="10"/>
  <c r="AO49" i="10" s="1"/>
  <c r="AA65" i="10"/>
  <c r="AQ65" i="10"/>
  <c r="AR65" i="10" s="1"/>
  <c r="Z65" i="10"/>
  <c r="AE65" i="10"/>
  <c r="AN65" i="10"/>
  <c r="AO65" i="10" s="1"/>
  <c r="AA73" i="10"/>
  <c r="AQ73" i="10"/>
  <c r="AR73" i="10" s="1"/>
  <c r="Z73" i="10"/>
  <c r="AE73" i="10"/>
  <c r="AN73" i="10"/>
  <c r="AO73" i="10" s="1"/>
  <c r="AQ94" i="10"/>
  <c r="AR94" i="10" s="1"/>
  <c r="Z94" i="10"/>
  <c r="AN94" i="10"/>
  <c r="AO94" i="10" s="1"/>
  <c r="AE94" i="10"/>
  <c r="AA97" i="10"/>
  <c r="AQ97" i="10"/>
  <c r="AR97" i="10" s="1"/>
  <c r="Z97" i="10"/>
  <c r="AE97" i="10"/>
  <c r="AN97" i="10"/>
  <c r="AO97" i="10" s="1"/>
  <c r="AA13" i="10"/>
  <c r="AQ13" i="10"/>
  <c r="AR13" i="10" s="1"/>
  <c r="Z13" i="10"/>
  <c r="AE13" i="10"/>
  <c r="AN13" i="10"/>
  <c r="AO13" i="10" s="1"/>
  <c r="AA29" i="10"/>
  <c r="AQ29" i="10"/>
  <c r="AR29" i="10" s="1"/>
  <c r="Z29" i="10"/>
  <c r="AE29" i="10"/>
  <c r="AN29" i="10"/>
  <c r="AO29" i="10" s="1"/>
  <c r="AQ58" i="10"/>
  <c r="AR58" i="10" s="1"/>
  <c r="Z58" i="10"/>
  <c r="AN58" i="10"/>
  <c r="AO58" i="10" s="1"/>
  <c r="AE58" i="10"/>
  <c r="AQ70" i="10"/>
  <c r="AR70" i="10" s="1"/>
  <c r="Z70" i="10"/>
  <c r="AN70" i="10"/>
  <c r="AO70" i="10" s="1"/>
  <c r="AE70" i="10"/>
  <c r="AA89" i="10"/>
  <c r="AQ89" i="10"/>
  <c r="AR89" i="10" s="1"/>
  <c r="Z89" i="10"/>
  <c r="AE89" i="10"/>
  <c r="AN89" i="10"/>
  <c r="AO89" i="10" s="1"/>
  <c r="Z4" i="22"/>
  <c r="AK6" i="22"/>
  <c r="AL6" i="22" s="1"/>
  <c r="Z7" i="22"/>
  <c r="AK14" i="22"/>
  <c r="AL14" i="22" s="1"/>
  <c r="Z15" i="22"/>
  <c r="AK22" i="22"/>
  <c r="AL22" i="22" s="1"/>
  <c r="Z23" i="22"/>
  <c r="AK30" i="22"/>
  <c r="AL30" i="22" s="1"/>
  <c r="Z31" i="22"/>
  <c r="AK38" i="22"/>
  <c r="AL38" i="22" s="1"/>
  <c r="Z39" i="22"/>
  <c r="AK46" i="22"/>
  <c r="AL46" i="22" s="1"/>
  <c r="Z47" i="22"/>
  <c r="AE48" i="22"/>
  <c r="AK54" i="22"/>
  <c r="AL54" i="22" s="1"/>
  <c r="Z55" i="22"/>
  <c r="AE56" i="22"/>
  <c r="AK62" i="22"/>
  <c r="AL62" i="22" s="1"/>
  <c r="Z63" i="22"/>
  <c r="AE64" i="22"/>
  <c r="AK70" i="22"/>
  <c r="AL70" i="22" s="1"/>
  <c r="Z71" i="22"/>
  <c r="AE72" i="22"/>
  <c r="AK78" i="22"/>
  <c r="AL78" i="22" s="1"/>
  <c r="Z79" i="22"/>
  <c r="AE80" i="22"/>
  <c r="AK86" i="22"/>
  <c r="AL86" i="22" s="1"/>
  <c r="Z87" i="22"/>
  <c r="AE88" i="22"/>
  <c r="AK94" i="22"/>
  <c r="AL94" i="22" s="1"/>
  <c r="Z95" i="22"/>
  <c r="AE96" i="22"/>
  <c r="AK102" i="22"/>
  <c r="AL102" i="22" s="1"/>
  <c r="AQ10" i="10"/>
  <c r="AR10" i="10" s="1"/>
  <c r="Z10" i="10"/>
  <c r="AN10" i="10"/>
  <c r="AO10" i="10" s="1"/>
  <c r="AE10" i="10"/>
  <c r="AQ22" i="10"/>
  <c r="AR22" i="10" s="1"/>
  <c r="Z22" i="10"/>
  <c r="AN22" i="10"/>
  <c r="AO22" i="10" s="1"/>
  <c r="AE22" i="10"/>
  <c r="AQ38" i="10"/>
  <c r="AR38" i="10" s="1"/>
  <c r="Z38" i="10"/>
  <c r="AN38" i="10"/>
  <c r="AO38" i="10" s="1"/>
  <c r="AE38" i="10"/>
  <c r="AA45" i="10"/>
  <c r="AQ45" i="10"/>
  <c r="AR45" i="10" s="1"/>
  <c r="Z45" i="10"/>
  <c r="AE45" i="10"/>
  <c r="AN45" i="10"/>
  <c r="AO45" i="10" s="1"/>
  <c r="AA61" i="10"/>
  <c r="AQ61" i="10"/>
  <c r="AR61" i="10" s="1"/>
  <c r="Z61" i="10"/>
  <c r="AE61" i="10"/>
  <c r="AN61" i="10"/>
  <c r="AO61" i="10" s="1"/>
  <c r="AA77" i="10"/>
  <c r="AQ77" i="10"/>
  <c r="AR77" i="10" s="1"/>
  <c r="Z77" i="10"/>
  <c r="AE77" i="10"/>
  <c r="AN77" i="10"/>
  <c r="AO77" i="10" s="1"/>
  <c r="AQ86" i="10"/>
  <c r="AR86" i="10" s="1"/>
  <c r="Z86" i="10"/>
  <c r="AN86" i="10"/>
  <c r="AO86" i="10" s="1"/>
  <c r="AE86" i="10"/>
  <c r="AK9" i="22"/>
  <c r="AL9" i="22" s="1"/>
  <c r="AK17" i="22"/>
  <c r="AL17" i="22" s="1"/>
  <c r="AK25" i="22"/>
  <c r="AL25" i="22" s="1"/>
  <c r="AK33" i="22"/>
  <c r="AL33" i="22" s="1"/>
  <c r="AK41" i="22"/>
  <c r="AL41" i="22" s="1"/>
  <c r="X48" i="22"/>
  <c r="AN48" i="22"/>
  <c r="AO48" i="22" s="1"/>
  <c r="AK49" i="22"/>
  <c r="AL49" i="22" s="1"/>
  <c r="X56" i="22"/>
  <c r="AN56" i="22"/>
  <c r="AO56" i="22" s="1"/>
  <c r="AK57" i="22"/>
  <c r="AL57" i="22" s="1"/>
  <c r="X64" i="22"/>
  <c r="AN64" i="22"/>
  <c r="AO64" i="22" s="1"/>
  <c r="AK65" i="22"/>
  <c r="AL65" i="22" s="1"/>
  <c r="X72" i="22"/>
  <c r="AN72" i="22"/>
  <c r="AO72" i="22" s="1"/>
  <c r="AK73" i="22"/>
  <c r="AL73" i="22" s="1"/>
  <c r="X80" i="22"/>
  <c r="AN80" i="22"/>
  <c r="AO80" i="22" s="1"/>
  <c r="AK81" i="22"/>
  <c r="AL81" i="22" s="1"/>
  <c r="X88" i="22"/>
  <c r="AN88" i="22"/>
  <c r="AO88" i="22" s="1"/>
  <c r="AK89" i="22"/>
  <c r="AL89" i="22" s="1"/>
  <c r="X96" i="22"/>
  <c r="AN96" i="22"/>
  <c r="AO96" i="22" s="1"/>
  <c r="AK97" i="22"/>
  <c r="AL97" i="22" s="1"/>
  <c r="AA25" i="10"/>
  <c r="AQ25" i="10"/>
  <c r="AR25" i="10" s="1"/>
  <c r="Z25" i="10"/>
  <c r="AE25" i="10"/>
  <c r="AN25" i="10"/>
  <c r="AO25" i="10" s="1"/>
  <c r="AA41" i="10"/>
  <c r="AQ41" i="10"/>
  <c r="AR41" i="10" s="1"/>
  <c r="Z41" i="10"/>
  <c r="AE41" i="10"/>
  <c r="AN41" i="10"/>
  <c r="AO41" i="10" s="1"/>
  <c r="AQ54" i="10"/>
  <c r="AR54" i="10" s="1"/>
  <c r="Z54" i="10"/>
  <c r="AN54" i="10"/>
  <c r="AO54" i="10" s="1"/>
  <c r="AE54" i="10"/>
  <c r="AA93" i="10"/>
  <c r="AQ93" i="10"/>
  <c r="AR93" i="10" s="1"/>
  <c r="Z93" i="10"/>
  <c r="AE93" i="10"/>
  <c r="AN93" i="10"/>
  <c r="AO93" i="10" s="1"/>
  <c r="AQ102" i="10"/>
  <c r="AR102" i="10" s="1"/>
  <c r="Z102" i="10"/>
  <c r="AN102" i="10"/>
  <c r="AO102" i="10" s="1"/>
  <c r="AE102" i="10"/>
  <c r="X6" i="22"/>
  <c r="AE9" i="22"/>
  <c r="X14" i="22"/>
  <c r="AE17" i="22"/>
  <c r="X22" i="22"/>
  <c r="AE25" i="22"/>
  <c r="X30" i="22"/>
  <c r="AE33" i="22"/>
  <c r="X38" i="22"/>
  <c r="AE41" i="22"/>
  <c r="X46" i="22"/>
  <c r="Z48" i="22"/>
  <c r="AE49" i="22"/>
  <c r="X54" i="22"/>
  <c r="Z56" i="22"/>
  <c r="AE57" i="22"/>
  <c r="Z64" i="22"/>
  <c r="AE65" i="22"/>
  <c r="X70" i="22"/>
  <c r="Z72" i="22"/>
  <c r="AE73" i="22"/>
  <c r="X78" i="22"/>
  <c r="Z80" i="22"/>
  <c r="AE81" i="22"/>
  <c r="X86" i="22"/>
  <c r="Z88" i="22"/>
  <c r="AE89" i="22"/>
  <c r="Z96" i="22"/>
  <c r="AE97" i="22"/>
  <c r="X102" i="22"/>
  <c r="AA9" i="10"/>
  <c r="AQ9" i="10"/>
  <c r="AR9" i="10" s="1"/>
  <c r="Z9" i="10"/>
  <c r="AE9" i="10"/>
  <c r="AN9" i="10"/>
  <c r="AO9" i="10" s="1"/>
  <c r="AA21" i="10"/>
  <c r="AQ21" i="10"/>
  <c r="AR21" i="10" s="1"/>
  <c r="Z21" i="10"/>
  <c r="AE21" i="10"/>
  <c r="AN21" i="10"/>
  <c r="AO21" i="10" s="1"/>
  <c r="AA26" i="10"/>
  <c r="AA37" i="10"/>
  <c r="AQ37" i="10"/>
  <c r="AR37" i="10" s="1"/>
  <c r="Z37" i="10"/>
  <c r="AE37" i="10"/>
  <c r="AN37" i="10"/>
  <c r="AO37" i="10" s="1"/>
  <c r="AA42" i="10"/>
  <c r="AQ50" i="10"/>
  <c r="AR50" i="10" s="1"/>
  <c r="Z50" i="10"/>
  <c r="AN50" i="10"/>
  <c r="AO50" i="10" s="1"/>
  <c r="AE50" i="10"/>
  <c r="AQ66" i="10"/>
  <c r="AR66" i="10" s="1"/>
  <c r="Z66" i="10"/>
  <c r="AN66" i="10"/>
  <c r="AO66" i="10" s="1"/>
  <c r="AE66" i="10"/>
  <c r="AQ74" i="10"/>
  <c r="AR74" i="10" s="1"/>
  <c r="Z74" i="10"/>
  <c r="AN74" i="10"/>
  <c r="AO74" i="10" s="1"/>
  <c r="AE74" i="10"/>
  <c r="AA85" i="10"/>
  <c r="AQ85" i="10"/>
  <c r="AR85" i="10" s="1"/>
  <c r="Z85" i="10"/>
  <c r="AE85" i="10"/>
  <c r="AN85" i="10"/>
  <c r="AO85" i="10" s="1"/>
  <c r="AA94" i="10"/>
  <c r="AQ98" i="10"/>
  <c r="AR98" i="10" s="1"/>
  <c r="Z98" i="10"/>
  <c r="AN98" i="10"/>
  <c r="AO98" i="10" s="1"/>
  <c r="AE98" i="10"/>
  <c r="X9" i="22"/>
  <c r="X17" i="22"/>
  <c r="X25" i="22"/>
  <c r="X33" i="22"/>
  <c r="X41" i="22"/>
  <c r="AA48" i="22"/>
  <c r="X49" i="22"/>
  <c r="AA56" i="22"/>
  <c r="X57" i="22"/>
  <c r="AA64" i="22"/>
  <c r="X65" i="22"/>
  <c r="AA72" i="22"/>
  <c r="X73" i="22"/>
  <c r="AA80" i="22"/>
  <c r="X81" i="22"/>
  <c r="AA88" i="22"/>
  <c r="X89" i="22"/>
  <c r="AA96" i="22"/>
  <c r="X97" i="22"/>
  <c r="AQ14" i="10"/>
  <c r="AR14" i="10" s="1"/>
  <c r="Z14" i="10"/>
  <c r="AN14" i="10"/>
  <c r="AO14" i="10" s="1"/>
  <c r="AE14" i="10"/>
  <c r="AQ30" i="10"/>
  <c r="AR30" i="10" s="1"/>
  <c r="Z30" i="10"/>
  <c r="AN30" i="10"/>
  <c r="AO30" i="10" s="1"/>
  <c r="AE30" i="10"/>
  <c r="AA53" i="10"/>
  <c r="AQ53" i="10"/>
  <c r="AR53" i="10" s="1"/>
  <c r="Z53" i="10"/>
  <c r="AE53" i="10"/>
  <c r="AN53" i="10"/>
  <c r="AO53" i="10" s="1"/>
  <c r="AA58" i="10"/>
  <c r="AA70" i="10"/>
  <c r="AQ90" i="10"/>
  <c r="AR90" i="10" s="1"/>
  <c r="Z90" i="10"/>
  <c r="AN90" i="10"/>
  <c r="AO90" i="10" s="1"/>
  <c r="AE90" i="10"/>
  <c r="AA101" i="10"/>
  <c r="AQ101" i="10"/>
  <c r="AR101" i="10" s="1"/>
  <c r="Z101" i="10"/>
  <c r="AE101" i="10"/>
  <c r="AN101" i="10"/>
  <c r="AO101" i="10" s="1"/>
  <c r="Z67" i="10"/>
  <c r="AQ67" i="10"/>
  <c r="AR67" i="10" s="1"/>
  <c r="Z71" i="10"/>
  <c r="AQ71" i="10"/>
  <c r="AR71" i="10" s="1"/>
  <c r="Z75" i="10"/>
  <c r="AQ75" i="10"/>
  <c r="AR75" i="10" s="1"/>
  <c r="Z79" i="10"/>
  <c r="AQ87" i="10"/>
  <c r="AR87" i="10" s="1"/>
  <c r="Z91" i="10"/>
  <c r="AQ91" i="10"/>
  <c r="AR91" i="10" s="1"/>
  <c r="Z95" i="10"/>
  <c r="Z99" i="10"/>
  <c r="Z5" i="10"/>
  <c r="AE6" i="10"/>
  <c r="Z8" i="10"/>
  <c r="AQ8" i="10"/>
  <c r="AR8" i="10" s="1"/>
  <c r="Z12" i="10"/>
  <c r="AQ12" i="10"/>
  <c r="AR12" i="10" s="1"/>
  <c r="Z16" i="10"/>
  <c r="Z20" i="10"/>
  <c r="Z24" i="10"/>
  <c r="Z28" i="10"/>
  <c r="Z32" i="10"/>
  <c r="Z36" i="10"/>
  <c r="Z40" i="10"/>
  <c r="Z44" i="10"/>
  <c r="Z48" i="10"/>
  <c r="Z52" i="10"/>
  <c r="Z56" i="10"/>
  <c r="Z60" i="10"/>
  <c r="Z64" i="10"/>
  <c r="Z68" i="10"/>
  <c r="Z72" i="10"/>
  <c r="Z76" i="10"/>
  <c r="AQ76" i="10"/>
  <c r="AR76" i="10" s="1"/>
  <c r="Z80" i="10"/>
  <c r="AQ80" i="10"/>
  <c r="AR80" i="10" s="1"/>
  <c r="Z84" i="10"/>
  <c r="AQ84" i="10"/>
  <c r="AR84" i="10" s="1"/>
  <c r="Z88" i="10"/>
  <c r="AQ88" i="10"/>
  <c r="AR88" i="10" s="1"/>
  <c r="Z92" i="10"/>
  <c r="AQ92" i="10"/>
  <c r="AR92" i="10" s="1"/>
  <c r="Z96" i="10"/>
  <c r="AQ96" i="10"/>
  <c r="AR96" i="10" s="1"/>
  <c r="Z100" i="10"/>
  <c r="AQ100" i="10"/>
  <c r="AR100" i="10" s="1"/>
  <c r="AA5" i="10"/>
  <c r="AN6" i="10"/>
  <c r="AO6" i="10" s="1"/>
  <c r="Z6" i="10"/>
  <c r="AE11" i="10"/>
  <c r="AE15" i="10"/>
  <c r="AE19" i="10"/>
  <c r="AE23" i="10"/>
  <c r="AE27" i="10"/>
  <c r="AE31" i="10"/>
  <c r="AE35" i="10"/>
  <c r="AE39" i="10"/>
  <c r="AE43" i="10"/>
  <c r="AE47" i="10"/>
  <c r="AE51" i="10"/>
  <c r="AE55" i="10"/>
  <c r="AE59" i="10"/>
  <c r="AE63" i="10"/>
  <c r="AE67" i="10"/>
  <c r="AE71" i="10"/>
  <c r="AE75" i="10"/>
  <c r="AE91" i="10"/>
  <c r="AA6" i="10"/>
  <c r="AI103" i="10" l="1"/>
  <c r="AF103" i="10"/>
  <c r="AK4" i="10"/>
  <c r="AL4" i="10" s="1"/>
  <c r="AL103" i="10" s="1"/>
  <c r="AH103" i="10"/>
  <c r="AS103" i="22"/>
  <c r="AK103" i="10"/>
  <c r="AG103" i="10"/>
  <c r="AS103" i="10"/>
  <c r="AT103" i="22"/>
  <c r="AT103" i="10"/>
  <c r="W16" i="22"/>
  <c r="AG16" i="22" s="1"/>
  <c r="Y27" i="22"/>
  <c r="AI27" i="22" s="1"/>
  <c r="AF34" i="22"/>
  <c r="W57" i="22"/>
  <c r="AG57" i="22" s="1"/>
  <c r="AF32" i="22"/>
  <c r="W55" i="22"/>
  <c r="AG55" i="22" s="1"/>
  <c r="AF82" i="22"/>
  <c r="AH59" i="22"/>
  <c r="W13" i="22"/>
  <c r="AG13" i="22" s="1"/>
  <c r="Y43" i="22"/>
  <c r="AI43" i="22" s="1"/>
  <c r="AF90" i="22"/>
  <c r="AF98" i="22"/>
  <c r="AH36" i="22"/>
  <c r="W56" i="22"/>
  <c r="AG56" i="22" s="1"/>
  <c r="W41" i="22"/>
  <c r="AG41" i="22" s="1"/>
  <c r="W86" i="22"/>
  <c r="AG86" i="22" s="1"/>
  <c r="Y74" i="22"/>
  <c r="AI74" i="22" s="1"/>
  <c r="W65" i="22"/>
  <c r="AG65" i="22" s="1"/>
  <c r="Y28" i="22"/>
  <c r="AI28" i="22" s="1"/>
  <c r="Y98" i="22"/>
  <c r="AI98" i="22" s="1"/>
  <c r="AF72" i="22"/>
  <c r="AF31" i="22"/>
  <c r="W48" i="22"/>
  <c r="AG48" i="22" s="1"/>
  <c r="AF74" i="22"/>
  <c r="W73" i="22"/>
  <c r="AG73" i="22" s="1"/>
  <c r="Y58" i="22"/>
  <c r="AI58" i="22" s="1"/>
  <c r="Y4" i="22"/>
  <c r="AI4" i="22" s="1"/>
  <c r="AH90" i="22"/>
  <c r="Y99" i="22"/>
  <c r="AI99" i="22" s="1"/>
  <c r="W33" i="22"/>
  <c r="AG33" i="22" s="1"/>
  <c r="W23" i="22"/>
  <c r="AG23" i="22" s="1"/>
  <c r="W26" i="22"/>
  <c r="AG26" i="22" s="1"/>
  <c r="W96" i="22"/>
  <c r="AG96" i="22" s="1"/>
  <c r="Y15" i="22"/>
  <c r="AI15" i="22" s="1"/>
  <c r="Y66" i="22"/>
  <c r="AI66" i="22" s="1"/>
  <c r="W17" i="22"/>
  <c r="AG17" i="22" s="1"/>
  <c r="W49" i="22"/>
  <c r="AG49" i="22" s="1"/>
  <c r="Y26" i="22"/>
  <c r="AI26" i="22" s="1"/>
  <c r="W81" i="22"/>
  <c r="AG81" i="22" s="1"/>
  <c r="W40" i="22"/>
  <c r="AG40" i="22" s="1"/>
  <c r="Y50" i="22"/>
  <c r="AI50" i="22" s="1"/>
  <c r="AH92" i="22"/>
  <c r="W25" i="22"/>
  <c r="AG25" i="22" s="1"/>
  <c r="AH60" i="22"/>
  <c r="AF50" i="22"/>
  <c r="W9" i="22"/>
  <c r="AG9" i="22" s="1"/>
  <c r="AF58" i="22"/>
  <c r="W42" i="22"/>
  <c r="AG42" i="22" s="1"/>
  <c r="W70" i="22"/>
  <c r="AG70" i="22" s="1"/>
  <c r="W97" i="22"/>
  <c r="AG97" i="22" s="1"/>
  <c r="W64" i="22"/>
  <c r="AG64" i="22" s="1"/>
  <c r="Y47" i="22"/>
  <c r="AI47" i="22" s="1"/>
  <c r="W88" i="22"/>
  <c r="AG88" i="22" s="1"/>
  <c r="Y75" i="22"/>
  <c r="AI75" i="22" s="1"/>
  <c r="AH84" i="22"/>
  <c r="W94" i="22"/>
  <c r="AG94" i="22" s="1"/>
  <c r="AH62" i="22"/>
  <c r="W89" i="22"/>
  <c r="AG89" i="22" s="1"/>
  <c r="Y10" i="22"/>
  <c r="AI10" i="22" s="1"/>
  <c r="AH7" i="22"/>
  <c r="W102" i="22"/>
  <c r="AG102" i="22" s="1"/>
  <c r="Y82" i="22"/>
  <c r="AI82" i="22" s="1"/>
  <c r="Y51" i="22"/>
  <c r="AI51" i="22" s="1"/>
  <c r="Y18" i="22"/>
  <c r="AI18" i="22" s="1"/>
  <c r="AH19" i="22"/>
  <c r="Y34" i="22"/>
  <c r="AI34" i="22" s="1"/>
  <c r="AH12" i="22"/>
  <c r="W80" i="22"/>
  <c r="AG80" i="22" s="1"/>
  <c r="Y83" i="22"/>
  <c r="AI83" i="22" s="1"/>
  <c r="W29" i="22"/>
  <c r="AG29" i="22" s="1"/>
  <c r="AF45" i="22"/>
  <c r="W45" i="22"/>
  <c r="AG45" i="22" s="1"/>
  <c r="W78" i="22"/>
  <c r="AG78" i="22" s="1"/>
  <c r="Y42" i="22"/>
  <c r="AI42" i="22" s="1"/>
  <c r="AF66" i="22"/>
  <c r="AH39" i="22"/>
  <c r="Y39" i="22"/>
  <c r="AI39" i="22" s="1"/>
  <c r="AH95" i="22"/>
  <c r="Y95" i="22"/>
  <c r="AI95" i="22" s="1"/>
  <c r="AF5" i="22"/>
  <c r="W5" i="22"/>
  <c r="AG5" i="22" s="1"/>
  <c r="W39" i="22"/>
  <c r="AG39" i="22" s="1"/>
  <c r="AF39" i="22"/>
  <c r="AH55" i="22"/>
  <c r="Y55" i="22"/>
  <c r="AI55" i="22" s="1"/>
  <c r="AF30" i="22"/>
  <c r="W30" i="22"/>
  <c r="AG30" i="22" s="1"/>
  <c r="Y31" i="22"/>
  <c r="AI31" i="22" s="1"/>
  <c r="AF95" i="22"/>
  <c r="W95" i="22"/>
  <c r="AG95" i="22" s="1"/>
  <c r="W7" i="22"/>
  <c r="AG7" i="22" s="1"/>
  <c r="AF7" i="22"/>
  <c r="AH71" i="22"/>
  <c r="Y71" i="22"/>
  <c r="AI71" i="22" s="1"/>
  <c r="AH23" i="22"/>
  <c r="Y23" i="22"/>
  <c r="AI23" i="22" s="1"/>
  <c r="AF6" i="22"/>
  <c r="W6" i="22"/>
  <c r="AG6" i="22" s="1"/>
  <c r="AF63" i="22"/>
  <c r="W63" i="22"/>
  <c r="AG63" i="22" s="1"/>
  <c r="AF10" i="22"/>
  <c r="W10" i="22"/>
  <c r="AG10" i="22" s="1"/>
  <c r="AF22" i="22"/>
  <c r="W22" i="22"/>
  <c r="AG22" i="22" s="1"/>
  <c r="W4" i="22"/>
  <c r="AG4" i="22" s="1"/>
  <c r="AF4" i="22"/>
  <c r="AF54" i="22"/>
  <c r="W54" i="22"/>
  <c r="AG54" i="22" s="1"/>
  <c r="AF62" i="22"/>
  <c r="W62" i="22"/>
  <c r="AG62" i="22" s="1"/>
  <c r="W47" i="22"/>
  <c r="AG47" i="22" s="1"/>
  <c r="AF47" i="22"/>
  <c r="AH63" i="22"/>
  <c r="Y63" i="22"/>
  <c r="AI63" i="22" s="1"/>
  <c r="AF79" i="22"/>
  <c r="W79" i="22"/>
  <c r="AG79" i="22" s="1"/>
  <c r="AF46" i="22"/>
  <c r="W46" i="22"/>
  <c r="AG46" i="22" s="1"/>
  <c r="AF15" i="22"/>
  <c r="W15" i="22"/>
  <c r="AG15" i="22" s="1"/>
  <c r="AF18" i="22"/>
  <c r="W18" i="22"/>
  <c r="AG18" i="22" s="1"/>
  <c r="AF87" i="22"/>
  <c r="W87" i="22"/>
  <c r="AG87" i="22" s="1"/>
  <c r="AE103" i="10"/>
  <c r="AF38" i="22"/>
  <c r="W38" i="22"/>
  <c r="AG38" i="22" s="1"/>
  <c r="AH87" i="22"/>
  <c r="Y87" i="22"/>
  <c r="AI87" i="22" s="1"/>
  <c r="AR103" i="10"/>
  <c r="Y68" i="22"/>
  <c r="AI68" i="22" s="1"/>
  <c r="AH68" i="22"/>
  <c r="AH79" i="22"/>
  <c r="Y79" i="22"/>
  <c r="AI79" i="22" s="1"/>
  <c r="AF71" i="22"/>
  <c r="W71" i="22"/>
  <c r="AG71" i="22" s="1"/>
  <c r="AE103" i="22"/>
  <c r="Y94" i="22"/>
  <c r="AI94" i="22" s="1"/>
  <c r="AH94" i="22"/>
  <c r="AF14" i="22"/>
  <c r="W14" i="22"/>
  <c r="AG14" i="22" s="1"/>
  <c r="Y41" i="22"/>
  <c r="AI41" i="22" s="1"/>
  <c r="AH41" i="22"/>
  <c r="AH72" i="22"/>
  <c r="Y72" i="22"/>
  <c r="AI72" i="22" s="1"/>
  <c r="W75" i="22"/>
  <c r="AG75" i="22" s="1"/>
  <c r="AF75" i="22"/>
  <c r="Y93" i="22"/>
  <c r="AI93" i="22" s="1"/>
  <c r="AH93" i="22"/>
  <c r="AO103" i="22"/>
  <c r="W76" i="22"/>
  <c r="AG76" i="22" s="1"/>
  <c r="AF76" i="22"/>
  <c r="Y33" i="22"/>
  <c r="AI33" i="22" s="1"/>
  <c r="AH33" i="22"/>
  <c r="AH48" i="22"/>
  <c r="Y48" i="22"/>
  <c r="AI48" i="22" s="1"/>
  <c r="AH91" i="22"/>
  <c r="Y91" i="22"/>
  <c r="AI91" i="22" s="1"/>
  <c r="W19" i="22"/>
  <c r="AG19" i="22" s="1"/>
  <c r="AF19" i="22"/>
  <c r="W91" i="22"/>
  <c r="AG91" i="22" s="1"/>
  <c r="AF91" i="22"/>
  <c r="Y37" i="22"/>
  <c r="AI37" i="22" s="1"/>
  <c r="AH37" i="22"/>
  <c r="AR103" i="22"/>
  <c r="AQ103" i="10"/>
  <c r="Y69" i="22"/>
  <c r="AI69" i="22" s="1"/>
  <c r="AH69" i="22"/>
  <c r="Y5" i="22"/>
  <c r="AI5" i="22" s="1"/>
  <c r="AH5" i="22"/>
  <c r="Y20" i="22"/>
  <c r="AI20" i="22" s="1"/>
  <c r="AH20" i="22"/>
  <c r="Y52" i="22"/>
  <c r="AI52" i="22" s="1"/>
  <c r="AH52" i="22"/>
  <c r="AH67" i="22"/>
  <c r="Y67" i="22"/>
  <c r="AI67" i="22" s="1"/>
  <c r="Y100" i="22"/>
  <c r="AI100" i="22" s="1"/>
  <c r="AH100" i="22"/>
  <c r="AH97" i="22"/>
  <c r="Y97" i="22"/>
  <c r="AI97" i="22" s="1"/>
  <c r="AH65" i="22"/>
  <c r="Y65" i="22"/>
  <c r="AI65" i="22" s="1"/>
  <c r="AH25" i="22"/>
  <c r="Y25" i="22"/>
  <c r="AI25" i="22" s="1"/>
  <c r="Y70" i="22"/>
  <c r="AI70" i="22" s="1"/>
  <c r="AH70" i="22"/>
  <c r="Y46" i="22"/>
  <c r="AI46" i="22" s="1"/>
  <c r="AH46" i="22"/>
  <c r="Y14" i="22"/>
  <c r="AI14" i="22" s="1"/>
  <c r="AH14" i="22"/>
  <c r="AH88" i="22"/>
  <c r="Y88" i="22"/>
  <c r="AI88" i="22" s="1"/>
  <c r="W60" i="22"/>
  <c r="AG60" i="22" s="1"/>
  <c r="AF60" i="22"/>
  <c r="W83" i="22"/>
  <c r="AG83" i="22" s="1"/>
  <c r="AF83" i="22"/>
  <c r="AQ103" i="22"/>
  <c r="AF21" i="22"/>
  <c r="W21" i="22"/>
  <c r="AG21" i="22" s="1"/>
  <c r="W44" i="22"/>
  <c r="AG44" i="22" s="1"/>
  <c r="AF44" i="22"/>
  <c r="AN103" i="22"/>
  <c r="Y76" i="22"/>
  <c r="AI76" i="22" s="1"/>
  <c r="AH76" i="22"/>
  <c r="AH35" i="22"/>
  <c r="Y35" i="22"/>
  <c r="AI35" i="22" s="1"/>
  <c r="Y22" i="22"/>
  <c r="AI22" i="22" s="1"/>
  <c r="AH22" i="22"/>
  <c r="AH32" i="22"/>
  <c r="Y32" i="22"/>
  <c r="AI32" i="22" s="1"/>
  <c r="Y44" i="22"/>
  <c r="AI44" i="22" s="1"/>
  <c r="AH44" i="22"/>
  <c r="AF69" i="22"/>
  <c r="W69" i="22"/>
  <c r="AG69" i="22" s="1"/>
  <c r="AO103" i="10"/>
  <c r="Y17" i="22"/>
  <c r="AI17" i="22" s="1"/>
  <c r="AH17" i="22"/>
  <c r="AH64" i="22"/>
  <c r="Y64" i="22"/>
  <c r="AI64" i="22" s="1"/>
  <c r="AF61" i="22"/>
  <c r="W61" i="22"/>
  <c r="AG61" i="22" s="1"/>
  <c r="Y45" i="22"/>
  <c r="AI45" i="22" s="1"/>
  <c r="AH45" i="22"/>
  <c r="AF37" i="22"/>
  <c r="W37" i="22"/>
  <c r="AG37" i="22" s="1"/>
  <c r="AH24" i="22"/>
  <c r="Y24" i="22"/>
  <c r="AI24" i="22" s="1"/>
  <c r="Y29" i="22"/>
  <c r="AI29" i="22" s="1"/>
  <c r="AH29" i="22"/>
  <c r="AN103" i="10"/>
  <c r="AF101" i="22"/>
  <c r="W101" i="22"/>
  <c r="AG101" i="22" s="1"/>
  <c r="AF77" i="22"/>
  <c r="W77" i="22"/>
  <c r="AG77" i="22" s="1"/>
  <c r="AH89" i="22"/>
  <c r="Y89" i="22"/>
  <c r="AI89" i="22" s="1"/>
  <c r="AH57" i="22"/>
  <c r="Y57" i="22"/>
  <c r="AI57" i="22" s="1"/>
  <c r="Y9" i="22"/>
  <c r="AI9" i="22" s="1"/>
  <c r="AH9" i="22"/>
  <c r="Y86" i="22"/>
  <c r="AI86" i="22" s="1"/>
  <c r="AH86" i="22"/>
  <c r="Y38" i="22"/>
  <c r="AI38" i="22" s="1"/>
  <c r="AH38" i="22"/>
  <c r="Y6" i="22"/>
  <c r="AI6" i="22" s="1"/>
  <c r="AH6" i="22"/>
  <c r="W84" i="22"/>
  <c r="AG84" i="22" s="1"/>
  <c r="AF84" i="22"/>
  <c r="Y61" i="22"/>
  <c r="AI61" i="22" s="1"/>
  <c r="AH61" i="22"/>
  <c r="W11" i="22"/>
  <c r="AG11" i="22" s="1"/>
  <c r="AF11" i="22"/>
  <c r="Y101" i="22"/>
  <c r="AI101" i="22" s="1"/>
  <c r="AH101" i="22"/>
  <c r="Y77" i="22"/>
  <c r="AI77" i="22" s="1"/>
  <c r="AH77" i="22"/>
  <c r="AH80" i="22"/>
  <c r="Y80" i="22"/>
  <c r="AI80" i="22" s="1"/>
  <c r="AF85" i="22"/>
  <c r="W85" i="22"/>
  <c r="AG85" i="22" s="1"/>
  <c r="AH40" i="22"/>
  <c r="Y40" i="22"/>
  <c r="AI40" i="22" s="1"/>
  <c r="W27" i="22"/>
  <c r="AG27" i="22" s="1"/>
  <c r="AF27" i="22"/>
  <c r="Y21" i="22"/>
  <c r="AI21" i="22" s="1"/>
  <c r="AH21" i="22"/>
  <c r="AH8" i="22"/>
  <c r="Y8" i="22"/>
  <c r="AI8" i="22" s="1"/>
  <c r="W36" i="22"/>
  <c r="AG36" i="22" s="1"/>
  <c r="AF36" i="22"/>
  <c r="AL103" i="22"/>
  <c r="W67" i="22"/>
  <c r="AG67" i="22" s="1"/>
  <c r="AF67" i="22"/>
  <c r="AF53" i="22"/>
  <c r="W53" i="22"/>
  <c r="AG53" i="22" s="1"/>
  <c r="AH73" i="22"/>
  <c r="Y73" i="22"/>
  <c r="AI73" i="22" s="1"/>
  <c r="AH81" i="22"/>
  <c r="Y81" i="22"/>
  <c r="AI81" i="22" s="1"/>
  <c r="AH49" i="22"/>
  <c r="Y49" i="22"/>
  <c r="AI49" i="22" s="1"/>
  <c r="Y30" i="22"/>
  <c r="AI30" i="22" s="1"/>
  <c r="AH30" i="22"/>
  <c r="AH56" i="22"/>
  <c r="Y56" i="22"/>
  <c r="AI56" i="22" s="1"/>
  <c r="W99" i="22"/>
  <c r="AG99" i="22" s="1"/>
  <c r="AF99" i="22"/>
  <c r="Y85" i="22"/>
  <c r="AI85" i="22" s="1"/>
  <c r="AH85" i="22"/>
  <c r="W51" i="22"/>
  <c r="AG51" i="22" s="1"/>
  <c r="AF51" i="22"/>
  <c r="W12" i="22"/>
  <c r="AG12" i="22" s="1"/>
  <c r="AF12" i="22"/>
  <c r="W92" i="22"/>
  <c r="AG92" i="22" s="1"/>
  <c r="AF92" i="22"/>
  <c r="AF8" i="22"/>
  <c r="W8" i="22"/>
  <c r="AG8" i="22" s="1"/>
  <c r="W28" i="22"/>
  <c r="AG28" i="22" s="1"/>
  <c r="AF28" i="22"/>
  <c r="AK103" i="22"/>
  <c r="W100" i="22"/>
  <c r="AG100" i="22" s="1"/>
  <c r="AF100" i="22"/>
  <c r="Y53" i="22"/>
  <c r="AI53" i="22" s="1"/>
  <c r="AH53" i="22"/>
  <c r="Y102" i="22"/>
  <c r="AI102" i="22" s="1"/>
  <c r="AH102" i="22"/>
  <c r="Y78" i="22"/>
  <c r="AI78" i="22" s="1"/>
  <c r="AH78" i="22"/>
  <c r="Y54" i="22"/>
  <c r="AI54" i="22" s="1"/>
  <c r="AH54" i="22"/>
  <c r="AH96" i="22"/>
  <c r="Y96" i="22"/>
  <c r="AI96" i="22" s="1"/>
  <c r="AF93" i="22"/>
  <c r="W93" i="22"/>
  <c r="AG93" i="22" s="1"/>
  <c r="W59" i="22"/>
  <c r="AG59" i="22" s="1"/>
  <c r="AF59" i="22"/>
  <c r="AF24" i="22"/>
  <c r="W24" i="22"/>
  <c r="AG24" i="22" s="1"/>
  <c r="AH11" i="22"/>
  <c r="Y11" i="22"/>
  <c r="AI11" i="22" s="1"/>
  <c r="AH16" i="22"/>
  <c r="Y16" i="22"/>
  <c r="AI16" i="22" s="1"/>
  <c r="Y13" i="22"/>
  <c r="AI13" i="22" s="1"/>
  <c r="AH13" i="22"/>
  <c r="W68" i="22"/>
  <c r="AG68" i="22" s="1"/>
  <c r="AF68" i="22"/>
  <c r="W43" i="22"/>
  <c r="AG43" i="22" s="1"/>
  <c r="AF43" i="22"/>
  <c r="W20" i="22"/>
  <c r="AG20" i="22" s="1"/>
  <c r="AF20" i="22"/>
  <c r="W35" i="22"/>
  <c r="AG35" i="22" s="1"/>
  <c r="AF35" i="22"/>
  <c r="W52" i="22"/>
  <c r="AG52" i="22" s="1"/>
  <c r="AF52" i="22"/>
  <c r="AH103" i="22" l="1"/>
  <c r="AI103" i="22"/>
  <c r="AG103" i="22"/>
  <c r="AF10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Rff9457</author>
  </authors>
  <commentList>
    <comment ref="AJ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Based on Oracle estimated program costs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Rff9457</author>
  </authors>
  <commentList>
    <comment ref="B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Average of 2016 and YTD through June 2017 actuals.</t>
        </r>
      </text>
    </comment>
    <comment ref="M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TRC less than 1. rebate equal to AC of Electric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Finesilver, Ryan</author>
  </authors>
  <commentList>
    <comment ref="B3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Finesilver, Ryan:</t>
        </r>
        <r>
          <rPr>
            <sz val="9"/>
            <color indexed="81"/>
            <rFont val="Tahoma"/>
            <family val="2"/>
          </rPr>
          <t xml:space="preserve">
Per NEEA memo received from Christina Steinhoff on 6/9/21
.50 in 2022
.58 in 2023</t>
        </r>
      </text>
    </comment>
  </commentList>
</comments>
</file>

<file path=xl/sharedStrings.xml><?xml version="1.0" encoding="utf-8"?>
<sst xmlns="http://schemas.openxmlformats.org/spreadsheetml/2006/main" count="2754" uniqueCount="751">
  <si>
    <t>Annual</t>
  </si>
  <si>
    <t>Res Space Heat</t>
  </si>
  <si>
    <t>Res AC</t>
  </si>
  <si>
    <t>Res Lighting</t>
  </si>
  <si>
    <t>Res Refrigeration</t>
  </si>
  <si>
    <t>Res Water Heating</t>
  </si>
  <si>
    <t>Res Dishwasher</t>
  </si>
  <si>
    <t>Res Washer Dryer</t>
  </si>
  <si>
    <t>Res Misc</t>
  </si>
  <si>
    <t>Res Furnace Fan</t>
  </si>
  <si>
    <t>NonRes Compressed Air</t>
  </si>
  <si>
    <t>NonRes Cooking</t>
  </si>
  <si>
    <t>NonRes Space Cooling</t>
  </si>
  <si>
    <t>NonRes Exterior Lighting</t>
  </si>
  <si>
    <t>NonRes Space Heating</t>
  </si>
  <si>
    <t>NonRes Water Heating</t>
  </si>
  <si>
    <t>NonRes Interior Lighting</t>
  </si>
  <si>
    <t>NonRes Misc</t>
  </si>
  <si>
    <t>NonRes Motors</t>
  </si>
  <si>
    <t>NonRes Office Equipment</t>
  </si>
  <si>
    <t>NonRes Process</t>
  </si>
  <si>
    <t>NonRes Refrigeration</t>
  </si>
  <si>
    <t>NonRes Ventilation</t>
  </si>
  <si>
    <t>Measure Description</t>
  </si>
  <si>
    <t>NA</t>
  </si>
  <si>
    <t>Elec Measure Type</t>
  </si>
  <si>
    <t>Winter</t>
  </si>
  <si>
    <t>Therm Savings Type</t>
  </si>
  <si>
    <t>Customer Incremental Cost</t>
  </si>
  <si>
    <t>Y1 KWh Savings</t>
  </si>
  <si>
    <t>Y1 Therm Savings</t>
  </si>
  <si>
    <t>Measure Life</t>
  </si>
  <si>
    <t>Total Incentive</t>
  </si>
  <si>
    <t>Recurring NEBs</t>
  </si>
  <si>
    <t>Y1 PV NEBs</t>
  </si>
  <si>
    <t>PV of Electric AC</t>
  </si>
  <si>
    <t>PV of NG AC</t>
  </si>
  <si>
    <t>Elec CIC</t>
  </si>
  <si>
    <t>NG CIC</t>
  </si>
  <si>
    <t>Elec Incentive</t>
  </si>
  <si>
    <t>NG Incentive</t>
  </si>
  <si>
    <t>Sub TRC</t>
  </si>
  <si>
    <t>Sub UCT</t>
  </si>
  <si>
    <t>Total</t>
  </si>
  <si>
    <t>Program Totals</t>
  </si>
  <si>
    <t>Y1 KWh Totals</t>
  </si>
  <si>
    <t>Y1 Therm Totals</t>
  </si>
  <si>
    <t>Elec CIC Totals</t>
  </si>
  <si>
    <t>Gas CIC Totals</t>
  </si>
  <si>
    <t>Elec Incentive Totals</t>
  </si>
  <si>
    <t>Gas Incentive Totals</t>
  </si>
  <si>
    <t>3rd Party Cost Totals</t>
  </si>
  <si>
    <t>3rd Party Elec Cost Totals</t>
  </si>
  <si>
    <t>3rd Party NG Cost Totals</t>
  </si>
  <si>
    <t>Y1 PV NEBs Totals</t>
  </si>
  <si>
    <t>Y1 PV Elec NEBs Totals</t>
  </si>
  <si>
    <t>Y1 PV Gas NEBs Totals</t>
  </si>
  <si>
    <t>Recurring NEBs Totals</t>
  </si>
  <si>
    <t>Recurring Elec NEBs Totals</t>
  </si>
  <si>
    <t>Recurring NG NEBs Totals</t>
  </si>
  <si>
    <t>Program:</t>
  </si>
  <si>
    <t>kWh</t>
  </si>
  <si>
    <t>therms</t>
  </si>
  <si>
    <t>CIC</t>
  </si>
  <si>
    <t>$CIC Elec</t>
  </si>
  <si>
    <t>$CIC Gas</t>
  </si>
  <si>
    <t>Electric AC PV</t>
  </si>
  <si>
    <t>NG AC PV</t>
  </si>
  <si>
    <t>NEBs</t>
  </si>
  <si>
    <t>Electric Incentive$</t>
  </si>
  <si>
    <t>Gas Incentive $</t>
  </si>
  <si>
    <t>Electric Savings $</t>
  </si>
  <si>
    <t>Gas Savings $</t>
  </si>
  <si>
    <t>3rd Party Costs $</t>
  </si>
  <si>
    <t>NIUC $</t>
  </si>
  <si>
    <t>Residential</t>
  </si>
  <si>
    <t>Site Specific</t>
  </si>
  <si>
    <t>Retail Gas Savings Totals</t>
  </si>
  <si>
    <t>Retail Elec Savings Totals</t>
  </si>
  <si>
    <t>Elec 3rd Party</t>
  </si>
  <si>
    <t>Gas 3rd Party</t>
  </si>
  <si>
    <t>Elec NIUC$</t>
  </si>
  <si>
    <t>Gas NIUC$</t>
  </si>
  <si>
    <t>Elec Avoided Cost Total</t>
  </si>
  <si>
    <t>Gas Avoided Cost Total</t>
  </si>
  <si>
    <t>Program</t>
  </si>
  <si>
    <t>User Entered Data</t>
  </si>
  <si>
    <t>Calculated</t>
  </si>
  <si>
    <t>Measure</t>
  </si>
  <si>
    <t>Res Clothes Washers (ResClothesWashersSF_v5V_3:</t>
  </si>
  <si>
    <t>Electric savings (kWh/yr)</t>
  </si>
  <si>
    <t>Gas savings (therms/yr)</t>
  </si>
  <si>
    <t>Non-energy Benefits (2006$/yr)</t>
  </si>
  <si>
    <t>Efficiency Level</t>
  </si>
  <si>
    <t>DHW Fuel</t>
  </si>
  <si>
    <t>Dryer Fuel</t>
  </si>
  <si>
    <t>Incremental Cost (2006$)</t>
  </si>
  <si>
    <t>Machine</t>
  </si>
  <si>
    <t>Dryer</t>
  </si>
  <si>
    <t>DHW</t>
  </si>
  <si>
    <t>Waste Water</t>
  </si>
  <si>
    <t>Waste water</t>
  </si>
  <si>
    <t>Detergent</t>
  </si>
  <si>
    <t>Lifetime</t>
  </si>
  <si>
    <t>TRC B/C</t>
  </si>
  <si>
    <t>Top Load _ CEE Tier 1</t>
  </si>
  <si>
    <t>Electric</t>
  </si>
  <si>
    <t>[negative incremental cost]</t>
  </si>
  <si>
    <t>Gas</t>
  </si>
  <si>
    <t>Any</t>
  </si>
  <si>
    <t>Front Load _ ENERGY STAR</t>
  </si>
  <si>
    <t>Front Load _ CEE Tier 1</t>
  </si>
  <si>
    <t>Front Load _ CEE Tier 2</t>
  </si>
  <si>
    <t>Front Load _ CEE Tier 3</t>
  </si>
  <si>
    <t>Res Showerheads(ResShowershead_v2_4)</t>
  </si>
  <si>
    <t>Measure Application</t>
  </si>
  <si>
    <t>Savings Component</t>
  </si>
  <si>
    <t>Savings for Period 1</t>
  </si>
  <si>
    <t>Capital Cost</t>
  </si>
  <si>
    <t>Annual O&amp;M</t>
  </si>
  <si>
    <t>Non-E Val ($/yr)</t>
  </si>
  <si>
    <t>Savings (therms/yr)</t>
  </si>
  <si>
    <t>Residential Showerhead Replacement_2_00gpm_Any Shower_ Any Water Heating_Retail</t>
  </si>
  <si>
    <t>Water Heating</t>
  </si>
  <si>
    <t>Residential Showerhead Replacement_1_75gpm_Any Shower_ Any Water Heating_Retail</t>
  </si>
  <si>
    <t>Residential Showerhead Replacement_1_50gpm_Any Shower_ Any Water Heating_Retail</t>
  </si>
  <si>
    <t>Residential Showerhead Replacement_2_00gpm_Any Shower_ Any Water Heating_Mail-by-Request</t>
  </si>
  <si>
    <t>Residential Showerhead Replacement_1_75gpm_Any Shower_ Any Water Heating_Mail-by-Request</t>
  </si>
  <si>
    <t>Residential Showerhead Replacement_1_50gpm_Any Shower_ Any Water Heating_Mail-by-Request</t>
  </si>
  <si>
    <t>Residential Showerhead Replacement_2_00gpm_Any Shower_ Any Water Heating_Direct Install</t>
  </si>
  <si>
    <t>Residential Showerhead Replacement_1_75gpm_Any Shower_ Any Water Heating_Direct Install</t>
  </si>
  <si>
    <t>Residential Showerhead Replacement_1_50gpm_Any Shower_ Any Water Heating_Direct Install</t>
  </si>
  <si>
    <t>Water Treatment</t>
  </si>
  <si>
    <t>Res HVAC (ResSFExistingHVAC_v4_1)</t>
  </si>
  <si>
    <t>Sector</t>
  </si>
  <si>
    <t>Category</t>
  </si>
  <si>
    <t>Technology, Measure or Practice</t>
  </si>
  <si>
    <t>Building Type</t>
  </si>
  <si>
    <t>Vintage</t>
  </si>
  <si>
    <t>Heating Zone</t>
  </si>
  <si>
    <t>Cooling Zone</t>
  </si>
  <si>
    <t>Other Specification 1</t>
  </si>
  <si>
    <t>Other Specification 2</t>
  </si>
  <si>
    <t>Details of Implementation and Product Standards</t>
  </si>
  <si>
    <t>UnitType</t>
  </si>
  <si>
    <t>Incremental Capital Cost ($/unit)</t>
  </si>
  <si>
    <t>Incremental O&amp;M Costs ($/unit)</t>
  </si>
  <si>
    <t>Measure Life (years)</t>
  </si>
  <si>
    <t>Annual Savings @ Site (kWh/yr) - Period 1</t>
  </si>
  <si>
    <t>Existing Single Family Home HVAC Conversion - Convert FAF w/CAC to Heat Pump - House with "Good Insulation" - Heating Zone 2</t>
  </si>
  <si>
    <t>HVAC</t>
  </si>
  <si>
    <t>Conversion to high efficiency heat pump</t>
  </si>
  <si>
    <t>Single Family</t>
  </si>
  <si>
    <t>Existing Construction</t>
  </si>
  <si>
    <t>HZ2</t>
  </si>
  <si>
    <t>All</t>
  </si>
  <si>
    <t>with Existing Central AC</t>
  </si>
  <si>
    <t>House with "Good Insulation"</t>
  </si>
  <si>
    <t>Heat pump system must be new and meet or exceed minimum federal efficiency standards.</t>
  </si>
  <si>
    <t/>
  </si>
  <si>
    <t>Existing Single Family Home HVAC Conversion - Convert FAF w/CAC to Heat Pump - House with "Fair Insulation" - Heating Zone 2</t>
  </si>
  <si>
    <t>House with "Fair Insulation"</t>
  </si>
  <si>
    <t>Existing Single Family Home HVAC Conversion - Convert FAF w/CAC to Heat Pump - House with "Poor Insulation" - Heating Zone 2</t>
  </si>
  <si>
    <t>House with "Poor Insulation"</t>
  </si>
  <si>
    <t>Existing Single Family Home HVAC Upgrade - Heat Pump Upgrade to 9.0 HSPF/14 SEER - Heating Zone 2</t>
  </si>
  <si>
    <t>Upgrade to high efficiency heat pump</t>
  </si>
  <si>
    <t>HSPF 9.0/SEER 14</t>
  </si>
  <si>
    <t>Heat pump system must be new and have an AHRI HSPF rating of 9.0 or higher.</t>
  </si>
  <si>
    <t>Existing Single Family Home HVAC Conversion - Convert FAF w/o CAC to Heat Pump - House with "Good Insulation" - Heating Zone 2 - Cooling Zone 2</t>
  </si>
  <si>
    <t>CZ2</t>
  </si>
  <si>
    <t>without Existing Central AC</t>
  </si>
  <si>
    <t>Existing Single Family Home HVAC Conversion - Convert FAF w/o CAC to Heat Pump - House with "Fair Insulation" - Heating Zone 2 - Cooling Zone 2</t>
  </si>
  <si>
    <t>Existing Single Family Home HVAC Conversion - Convert FAF w/o CAC to Heat Pump - House with "Poor Insulation" - Heating Zone 2 - Cooling Zone 2</t>
  </si>
  <si>
    <t>Existing Single Family Home HVAC Upgrade - Central Heat Pump Upgrade to Variable Capacity Central Heat Pump - Heating Zone 2 - Cooling Zone 2</t>
  </si>
  <si>
    <t>VCHP</t>
  </si>
  <si>
    <t>Heat pump system must be new and have an AHRI HSPF rating of 10.0 or higher.  The compressor must be variable speed and inverter-driven.</t>
  </si>
  <si>
    <t>New Single Family Home HVAC Upgrade - Heat Pump Upgrade to 9.0 HSPF/14 SEER - Heating Zone 2</t>
  </si>
  <si>
    <t>New Construction</t>
  </si>
  <si>
    <t>New Single Family Home HVAC Upgrade - Central Heat Pump Upgrade to Variable Capacity Central Heat Pump - Heating Zone 2 - Cooling Zone 2</t>
  </si>
  <si>
    <t>New Single Family Home HVAC Upgrade - Central Heat Pump Upgrade to Variable Capacity Central Heat Pump - Heating Zone 3 - Cooling Zone 2</t>
  </si>
  <si>
    <t>Zonal to DHP_HSPF 9.0 and above_HZ2CZ2</t>
  </si>
  <si>
    <t>Install Ductless Heat Pump to displace zonal resistance heat</t>
  </si>
  <si>
    <t>No screen for supplemental fuel use</t>
  </si>
  <si>
    <t>HSPF 9.0 and above</t>
  </si>
  <si>
    <t>Inverter-driven DHP of 0.75 ton or greater heating capacity must be installed in the main living area of a house heated with zonal electric heat.</t>
  </si>
  <si>
    <t>per DHP</t>
  </si>
  <si>
    <t>Zonal to DHP_HSPF 9.0 to 11.0_HZ2CZ2</t>
  </si>
  <si>
    <t>HSPF 9.0 to 11.0</t>
  </si>
  <si>
    <t>Zonal to DHP_HSPF 11.1 to 12.5_HZ2CZ2</t>
  </si>
  <si>
    <t>HSPF 11.1 to 12.5</t>
  </si>
  <si>
    <t>Zonal to DHP_HSPF 12.6 and above_HZ2CZ2</t>
  </si>
  <si>
    <t>HSPF 12.6 and above</t>
  </si>
  <si>
    <t>Res Lighting (ResLighting_Bulbs_v4_2)</t>
  </si>
  <si>
    <t>ProCost Full Measure Name</t>
  </si>
  <si>
    <t>Unit Type</t>
  </si>
  <si>
    <t>Lamp Type</t>
  </si>
  <si>
    <t>Lumen Bin</t>
  </si>
  <si>
    <t>Delivery Mechanism or Program</t>
  </si>
  <si>
    <t>Present Value of Periodic Capital Replacement Cost ($/unit)</t>
  </si>
  <si>
    <t>First Year Savings @ Site (kwh/yr)</t>
  </si>
  <si>
    <t>Average Annual Savings @ Site, 2016 - 2019 (kWh/yr)</t>
  </si>
  <si>
    <t>Retail_CFL_Decorative and Mini-Base_250 to 1049 lumens</t>
  </si>
  <si>
    <t>CFL</t>
  </si>
  <si>
    <t>Light bulb</t>
  </si>
  <si>
    <t>Primarily residential</t>
  </si>
  <si>
    <t>any</t>
  </si>
  <si>
    <t>Decorative and Mini-Base</t>
  </si>
  <si>
    <t>250 to 1049 lumens</t>
  </si>
  <si>
    <t>Retail</t>
  </si>
  <si>
    <t>Retail_CFL_Decorative and Mini-Base_1050 to 1489 lumens</t>
  </si>
  <si>
    <t>1050 to 1489 lumens</t>
  </si>
  <si>
    <t>Retail_CFL_Decorative and Mini-Base_1490 to 2600 lumens</t>
  </si>
  <si>
    <t>1490 to 2600 lumens</t>
  </si>
  <si>
    <t>Retail_CFL_General Purpose, Dimmable, and Three-Way_250 to 1049 lumens</t>
  </si>
  <si>
    <t>General Purpose, Dimmable, and Three-Way</t>
  </si>
  <si>
    <t>Retail_CFL_General Purpose, Dimmable, and Three-Way_1050 to 1489 lumens</t>
  </si>
  <si>
    <t>Retail_CFL_General Purpose, Dimmable, and Three-Way_1490 to 2600 lumens</t>
  </si>
  <si>
    <t>Retail_CFL_Globe_250 to 1049 lumens</t>
  </si>
  <si>
    <t>Globe</t>
  </si>
  <si>
    <t>Retail_CFL_Globe_1050 to 1489 lumens</t>
  </si>
  <si>
    <t>Retail_CFL_Globe_1490 to 2600 lumens</t>
  </si>
  <si>
    <t>Retail_CFL_Reflectors and Outdoor_250 to 1049 lumens</t>
  </si>
  <si>
    <t>Reflectors and Outdoor</t>
  </si>
  <si>
    <t>Retail_CFL_Reflectors and Outdoor_1050 to 1489 lumens</t>
  </si>
  <si>
    <t>Retail_CFL_Reflectors and Outdoor_1490 to 2600 lumens</t>
  </si>
  <si>
    <t>Retail_LED_Decorative and Mini-Base_250 to 1049 lumens</t>
  </si>
  <si>
    <t>LED</t>
  </si>
  <si>
    <t>Retail_LED_Decorative and Mini-Base_1050 to 1489 lumens</t>
  </si>
  <si>
    <t>Retail_LED_Decorative and Mini-Base_1490 to 2600 lumens</t>
  </si>
  <si>
    <t>Retail_LED_General Purpose, Dimmable, and Three-Way_250 to 1049 lumens</t>
  </si>
  <si>
    <t>Retail_LED_General Purpose, Dimmable, and Three-Way_1050 to 1489 lumens</t>
  </si>
  <si>
    <t>Retail_LED_General Purpose, Dimmable, and Three-Way_1490 to 2600 lumens</t>
  </si>
  <si>
    <t>Retail_LED_Globe_250 to 1049 lumens</t>
  </si>
  <si>
    <t>Retail_LED_Globe_1050 to 1489 lumens</t>
  </si>
  <si>
    <t>Retail_LED_Globe_1490 to 2600 lumens</t>
  </si>
  <si>
    <t>Retail_LED_Reflectors and Outdoor_250 to 1049 lumens</t>
  </si>
  <si>
    <t>Retail_LED_Reflectors and Outdoor_1050 to 1489 lumens</t>
  </si>
  <si>
    <t>Retail_LED_Reflectors and Outdoor_1490 to 2600 lumens</t>
  </si>
  <si>
    <t>Mail by request_CFL_Decorative and Mini-Base_250 to 1049 lumens</t>
  </si>
  <si>
    <t>Mail by request</t>
  </si>
  <si>
    <t>Mail by request_CFL_Decorative and Mini-Base_1050 to 1489 lumens</t>
  </si>
  <si>
    <t>Mail by request_CFL_Decorative and Mini-Base_1490 to 2600 lumens</t>
  </si>
  <si>
    <t>Mail by request_CFL_General Purpose, Dimmable, and Three-Way_250 to 1049 lumens</t>
  </si>
  <si>
    <t>Mail by request_CFL_General Purpose, Dimmable, and Three-Way_1050 to 1489 lumens</t>
  </si>
  <si>
    <t>Mail by request_CFL_General Purpose, Dimmable, and Three-Way_1490 to 2600 lumens</t>
  </si>
  <si>
    <t>Mail by request_CFL_Globe_250 to 1049 lumens</t>
  </si>
  <si>
    <t>Mail by request_CFL_Globe_1050 to 1489 lumens</t>
  </si>
  <si>
    <t>Mail by request_CFL_Globe_1490 to 2600 lumens</t>
  </si>
  <si>
    <t>Mail by request_CFL_Reflectors and Outdoor_250 to 1049 lumens</t>
  </si>
  <si>
    <t>Mail by request_CFL_Reflectors and Outdoor_1050 to 1489 lumens</t>
  </si>
  <si>
    <t>Mail by request_CFL_Reflectors and Outdoor_1490 to 2600 lumens</t>
  </si>
  <si>
    <t>Mail by request_LED_Decorative and Mini-Base_250 to 1049 lumens</t>
  </si>
  <si>
    <t>Mail by request_LED_Decorative and Mini-Base_1050 to 1489 lumens</t>
  </si>
  <si>
    <t>Mail by request_LED_Decorative and Mini-Base_1490 to 2600 lumens</t>
  </si>
  <si>
    <t>Mail by request_LED_General Purpose, Dimmable, and Three-Way_250 to 1049 lumens</t>
  </si>
  <si>
    <t>Mail by request_LED_General Purpose, Dimmable, and Three-Way_1050 to 1489 lumens</t>
  </si>
  <si>
    <t>Mail by request_LED_General Purpose, Dimmable, and Three-Way_1490 to 2600 lumens</t>
  </si>
  <si>
    <t>Mail by request_LED_Globe_250 to 1049 lumens</t>
  </si>
  <si>
    <t>Mail by request_LED_Globe_1050 to 1489 lumens</t>
  </si>
  <si>
    <t>Mail by request_LED_Globe_1490 to 2600 lumens</t>
  </si>
  <si>
    <t>Mail by request_LED_Reflectors and Outdoor_250 to 1049 lumens</t>
  </si>
  <si>
    <t>Mail by request_LED_Reflectors and Outdoor_1050 to 1489 lumens</t>
  </si>
  <si>
    <t>Mail by request_LED_Reflectors and Outdoor_1490 to 2600 lumens</t>
  </si>
  <si>
    <t>Unsolicited mail_CFL_Decorative and Mini-Base_250 to 1049 lumens</t>
  </si>
  <si>
    <t>Unsolicited mail</t>
  </si>
  <si>
    <t>Unsolicited mail_CFL_Decorative and Mini-Base_1050 to 1489 lumens</t>
  </si>
  <si>
    <t>Unsolicited mail_CFL_Decorative and Mini-Base_1490 to 2600 lumens</t>
  </si>
  <si>
    <t>Unsolicited mail_CFL_General Purpose, Dimmable, and Three-Way_250 to 1049 lumens</t>
  </si>
  <si>
    <t>Unsolicited mail_CFL_General Purpose, Dimmable, and Three-Way_1050 to 1489 lumens</t>
  </si>
  <si>
    <t>Unsolicited mail_CFL_General Purpose, Dimmable, and Three-Way_1490 to 2600 lumens</t>
  </si>
  <si>
    <t>Unsolicited mail_CFL_Globe_250 to 1049 lumens</t>
  </si>
  <si>
    <t>Unsolicited mail_CFL_Globe_1050 to 1489 lumens</t>
  </si>
  <si>
    <t>Unsolicited mail_CFL_Globe_1490 to 2600 lumens</t>
  </si>
  <si>
    <t>Unsolicited mail_CFL_Reflectors and Outdoor_250 to 1049 lumens</t>
  </si>
  <si>
    <t>Unsolicited mail_CFL_Reflectors and Outdoor_1050 to 1489 lumens</t>
  </si>
  <si>
    <t>Unsolicited mail_CFL_Reflectors and Outdoor_1490 to 2600 lumens</t>
  </si>
  <si>
    <t>Unsolicited mail_LED_Decorative and Mini-Base_250 to 1049 lumens</t>
  </si>
  <si>
    <t>Unsolicited mail_LED_Decorative and Mini-Base_1050 to 1489 lumens</t>
  </si>
  <si>
    <t>Unsolicited mail_LED_Decorative and Mini-Base_1490 to 2600 lumens</t>
  </si>
  <si>
    <t>Unsolicited mail_LED_General Purpose, Dimmable, and Three-Way_250 to 1049 lumens</t>
  </si>
  <si>
    <t>Unsolicited mail_LED_General Purpose, Dimmable, and Three-Way_1050 to 1489 lumens</t>
  </si>
  <si>
    <t>Unsolicited mail_LED_General Purpose, Dimmable, and Three-Way_1490 to 2600 lumens</t>
  </si>
  <si>
    <t>Unsolicited mail_LED_Globe_250 to 1049 lumens</t>
  </si>
  <si>
    <t>Unsolicited mail_LED_Globe_1050 to 1489 lumens</t>
  </si>
  <si>
    <t>Unsolicited mail_LED_Globe_1490 to 2600 lumens</t>
  </si>
  <si>
    <t>Unsolicited mail_LED_Reflectors and Outdoor_250 to 1049 lumens</t>
  </si>
  <si>
    <t>Unsolicited mail_LED_Reflectors and Outdoor_1050 to 1489 lumens</t>
  </si>
  <si>
    <t>Unsolicited mail_LED_Reflectors and Outdoor_1490 to 2600 lumens</t>
  </si>
  <si>
    <t>Give away_CFL_Decorative and Mini-Base_250 to 1049 lumens</t>
  </si>
  <si>
    <t>Give away</t>
  </si>
  <si>
    <t>Give away_CFL_Decorative and Mini-Base_1050 to 1489 lumens</t>
  </si>
  <si>
    <t>Give away_CFL_Decorative and Mini-Base_1490 to 2600 lumens</t>
  </si>
  <si>
    <t>Give away_CFL_General Purpose, Dimmable, and Three-Way_250 to 1049 lumens</t>
  </si>
  <si>
    <t>Give away_CFL_General Purpose, Dimmable, and Three-Way_1050 to 1489 lumens</t>
  </si>
  <si>
    <t>Give away_CFL_General Purpose, Dimmable, and Three-Way_1490 to 2600 lumens</t>
  </si>
  <si>
    <t>Give away_CFL_Globe_250 to 1049 lumens</t>
  </si>
  <si>
    <t>Give away_CFL_Globe_1050 to 1489 lumens</t>
  </si>
  <si>
    <t>Give away_CFL_Globe_1490 to 2600 lumens</t>
  </si>
  <si>
    <t>Give away_CFL_Reflectors and Outdoor_250 to 1049 lumens</t>
  </si>
  <si>
    <t>Give away_CFL_Reflectors and Outdoor_1050 to 1489 lumens</t>
  </si>
  <si>
    <t>Give away_CFL_Reflectors and Outdoor_1490 to 2600 lumens</t>
  </si>
  <si>
    <t>Give away_LED_Decorative and Mini-Base_250 to 1049 lumens</t>
  </si>
  <si>
    <t>Give away_LED_Decorative and Mini-Base_1050 to 1489 lumens</t>
  </si>
  <si>
    <t>Give away_LED_Decorative and Mini-Base_1490 to 2600 lumens</t>
  </si>
  <si>
    <t>Give away_LED_General Purpose, Dimmable, and Three-Way_250 to 1049 lumens</t>
  </si>
  <si>
    <t>Give away_LED_General Purpose, Dimmable, and Three-Way_1050 to 1489 lumens</t>
  </si>
  <si>
    <t>Give away_LED_General Purpose, Dimmable, and Three-Way_1490 to 2600 lumens</t>
  </si>
  <si>
    <t>Give away_LED_Globe_250 to 1049 lumens</t>
  </si>
  <si>
    <t>Give away_LED_Globe_1050 to 1489 lumens</t>
  </si>
  <si>
    <t>Give away_LED_Globe_1490 to 2600 lumens</t>
  </si>
  <si>
    <t>Give away_LED_Reflectors and Outdoor_250 to 1049 lumens</t>
  </si>
  <si>
    <t>Give away_LED_Reflectors and Outdoor_1050 to 1489 lumens</t>
  </si>
  <si>
    <t>Give away_LED_Reflectors and Outdoor_1490 to 2600 lumens</t>
  </si>
  <si>
    <t>Direct install - Exterior_CFL_Decorative and Mini-Base_250 to 1049 lumens</t>
  </si>
  <si>
    <t>Residential - Exterior</t>
  </si>
  <si>
    <t>Direct install</t>
  </si>
  <si>
    <t>Direct install - Exterior_CFL_Decorative and Mini-Base_1050 to 1489 lumens</t>
  </si>
  <si>
    <t>Direct install - Exterior_CFL_Decorative and Mini-Base_1490 to 2600 lumens</t>
  </si>
  <si>
    <t>Direct install - Exterior_CFL_General Purpose, Dimmable, and Three-Way_250 to 1049 lumens</t>
  </si>
  <si>
    <t>Direct install - Exterior_CFL_General Purpose, Dimmable, and Three-Way_1050 to 1489 lumens</t>
  </si>
  <si>
    <t>Direct install - Exterior_CFL_General Purpose, Dimmable, and Three-Way_1490 to 2600 lumens</t>
  </si>
  <si>
    <t>Direct install - Exterior_CFL_Globe_250 to 1049 lumens</t>
  </si>
  <si>
    <t>Direct install - Exterior_CFL_Globe_1050 to 1489 lumens</t>
  </si>
  <si>
    <t>Direct install - Exterior_CFL_Globe_1490 to 2600 lumens</t>
  </si>
  <si>
    <t>Direct install - Exterior_CFL_Reflectors and Outdoor_250 to 1049 lumens</t>
  </si>
  <si>
    <t>Direct install - Exterior_CFL_Reflectors and Outdoor_1050 to 1489 lumens</t>
  </si>
  <si>
    <t>Direct install - Exterior_CFL_Reflectors and Outdoor_1490 to 2600 lumens</t>
  </si>
  <si>
    <t>Direct install - Exterior_LED_Decorative and Mini-Base_250 to 1049 lumens</t>
  </si>
  <si>
    <t>Direct install - Exterior_LED_Decorative and Mini-Base_1050 to 1489 lumens</t>
  </si>
  <si>
    <t>Direct install - Exterior_LED_Decorative and Mini-Base_1490 to 2600 lumens</t>
  </si>
  <si>
    <t>Direct install - Exterior_LED_General Purpose, Dimmable, and Three-Way_250 to 1049 lumens</t>
  </si>
  <si>
    <t>Direct install - Exterior_LED_General Purpose, Dimmable, and Three-Way_1050 to 1489 lumens</t>
  </si>
  <si>
    <t>Direct install - Exterior_LED_General Purpose, Dimmable, and Three-Way_1490 to 2600 lumens</t>
  </si>
  <si>
    <t>Direct install - Exterior_LED_Globe_250 to 1049 lumens</t>
  </si>
  <si>
    <t>Direct install - Exterior_LED_Globe_1050 to 1489 lumens</t>
  </si>
  <si>
    <t>Direct install - Exterior_LED_Globe_1490 to 2600 lumens</t>
  </si>
  <si>
    <t>Direct install - Exterior_LED_Reflectors and Outdoor_250 to 1049 lumens</t>
  </si>
  <si>
    <t>Direct install - Exterior_LED_Reflectors and Outdoor_1050 to 1489 lumens</t>
  </si>
  <si>
    <t>Direct install - Exterior_LED_Reflectors and Outdoor_1490 to 2600 lumens</t>
  </si>
  <si>
    <t>Direct install - High Use_CFL_Decorative and Mini-Base_250 to 1049 lumens</t>
  </si>
  <si>
    <t>Residential - Family room, Living room, Kitchen</t>
  </si>
  <si>
    <t>Direct install - High Use_CFL_Decorative and Mini-Base_1050 to 1489 lumens</t>
  </si>
  <si>
    <t>Direct install - High Use_CFL_Decorative and Mini-Base_1490 to 2600 lumens</t>
  </si>
  <si>
    <t>Direct install - High Use_CFL_General Purpose, Dimmable, and Three-Way_250 to 1049 lumens</t>
  </si>
  <si>
    <t>Direct install - High Use_CFL_General Purpose, Dimmable, and Three-Way_1050 to 1489 lumens</t>
  </si>
  <si>
    <t>Direct install - High Use_CFL_General Purpose, Dimmable, and Three-Way_1490 to 2600 lumens</t>
  </si>
  <si>
    <t>Direct install - High Use_CFL_Globe_250 to 1049 lumens</t>
  </si>
  <si>
    <t>Direct install - High Use_CFL_Globe_1050 to 1489 lumens</t>
  </si>
  <si>
    <t>Direct install - High Use_CFL_Globe_1490 to 2600 lumens</t>
  </si>
  <si>
    <t>Direct install - High Use_CFL_Reflectors and Outdoor_250 to 1049 lumens</t>
  </si>
  <si>
    <t>Direct install - High Use_CFL_Reflectors and Outdoor_1050 to 1489 lumens</t>
  </si>
  <si>
    <t>Direct install - High Use_CFL_Reflectors and Outdoor_1490 to 2600 lumens</t>
  </si>
  <si>
    <t>Direct install - High Use_LED_Decorative and Mini-Base_250 to 1049 lumens</t>
  </si>
  <si>
    <t>Direct install - High Use_LED_Decorative and Mini-Base_1050 to 1489 lumens</t>
  </si>
  <si>
    <t>Direct install - High Use_LED_Decorative and Mini-Base_1490 to 2600 lumens</t>
  </si>
  <si>
    <t>Direct install - High Use_LED_General Purpose, Dimmable, and Three-Way_250 to 1049 lumens</t>
  </si>
  <si>
    <t>Direct install - High Use_LED_General Purpose, Dimmable, and Three-Way_1050 to 1489 lumens</t>
  </si>
  <si>
    <t>Direct install - High Use_LED_General Purpose, Dimmable, and Three-Way_1490 to 2600 lumens</t>
  </si>
  <si>
    <t>Direct install - High Use_LED_Globe_250 to 1049 lumens</t>
  </si>
  <si>
    <t>Direct install - High Use_LED_Globe_1050 to 1489 lumens</t>
  </si>
  <si>
    <t>Direct install - High Use_LED_Globe_1490 to 2600 lumens</t>
  </si>
  <si>
    <t>Direct install - High Use_LED_Reflectors and Outdoor_250 to 1049 lumens</t>
  </si>
  <si>
    <t>Direct install - High Use_LED_Reflectors and Outdoor_1050 to 1489 lumens</t>
  </si>
  <si>
    <t>Direct install - High Use_LED_Reflectors and Outdoor_1490 to 2600 lumens</t>
  </si>
  <si>
    <t>Direct install - Moderate Use_CFL_Decorative and Mini-Base_250 to 1049 lumens</t>
  </si>
  <si>
    <t>Residential - All except exterior, family room, living room, kitchen, and closet</t>
  </si>
  <si>
    <t>Direct install - Moderate Use_CFL_Decorative and Mini-Base_1050 to 1489 lumens</t>
  </si>
  <si>
    <t>Direct install - Moderate Use_CFL_Decorative and Mini-Base_1490 to 2600 lumens</t>
  </si>
  <si>
    <t>Direct install - Moderate Use_CFL_General Purpose, Dimmable, and Three-Way_250 to 1049 lumens</t>
  </si>
  <si>
    <t>Direct install - Moderate Use_CFL_General Purpose, Dimmable, and Three-Way_1050 to 1489 lumens</t>
  </si>
  <si>
    <t>Direct install - Moderate Use_CFL_General Purpose, Dimmable, and Three-Way_1490 to 2600 lumens</t>
  </si>
  <si>
    <t>Direct install - Moderate Use_CFL_Globe_250 to 1049 lumens</t>
  </si>
  <si>
    <t>Direct install - Moderate Use_CFL_Globe_1050 to 1489 lumens</t>
  </si>
  <si>
    <t>Direct install - Moderate Use_CFL_Globe_1490 to 2600 lumens</t>
  </si>
  <si>
    <t>Direct install - Moderate Use_CFL_Reflectors and Outdoor_250 to 1049 lumens</t>
  </si>
  <si>
    <t>Direct install - Moderate Use_CFL_Reflectors and Outdoor_1050 to 1489 lumens</t>
  </si>
  <si>
    <t>Direct install - Moderate Use_CFL_Reflectors and Outdoor_1490 to 2600 lumens</t>
  </si>
  <si>
    <t>Direct install - Moderate Use_LED_Decorative and Mini-Base_250 to 1049 lumens</t>
  </si>
  <si>
    <t>Direct install - Moderate Use_LED_Decorative and Mini-Base_1050 to 1489 lumens</t>
  </si>
  <si>
    <t>Direct install - Moderate Use_LED_Decorative and Mini-Base_1490 to 2600 lumens</t>
  </si>
  <si>
    <t>Direct install - Moderate Use_LED_General Purpose, Dimmable, and Three-Way_250 to 1049 lumens</t>
  </si>
  <si>
    <t>Direct install - Moderate Use_LED_General Purpose, Dimmable, and Three-Way_1050 to 1489 lumens</t>
  </si>
  <si>
    <t>Direct install - Moderate Use_LED_General Purpose, Dimmable, and Three-Way_1490 to 2600 lumens</t>
  </si>
  <si>
    <t>Direct install - Moderate Use_LED_Globe_250 to 1049 lumens</t>
  </si>
  <si>
    <t>Direct install - Moderate Use_LED_Globe_1050 to 1489 lumens</t>
  </si>
  <si>
    <t>Direct install - Moderate Use_LED_Globe_1490 to 2600 lumens</t>
  </si>
  <si>
    <t>Direct install - Moderate Use_LED_Reflectors and Outdoor_250 to 1049 lumens</t>
  </si>
  <si>
    <t>Direct install - Moderate Use_LED_Reflectors and Outdoor_1050 to 1489 lumens</t>
  </si>
  <si>
    <t>Direct install - Moderate Use_LED_Reflectors and Outdoor_1490 to 2600 lumens</t>
  </si>
  <si>
    <t>Residential New Construction (ResSFEStarBuiltGreenHomesWA2014_v2_4)</t>
  </si>
  <si>
    <t>Other 1</t>
  </si>
  <si>
    <t>Other 2</t>
  </si>
  <si>
    <t>Lost Opportunity?</t>
  </si>
  <si>
    <t>Location</t>
  </si>
  <si>
    <t>ID_ClimateZone</t>
  </si>
  <si>
    <t>Annual Savings @ Site (kwh/yr)</t>
  </si>
  <si>
    <t>EStarGas_gfac_HZ2_CZ2</t>
  </si>
  <si>
    <t>Gas CAC</t>
  </si>
  <si>
    <t>-</t>
  </si>
  <si>
    <t>Yes</t>
  </si>
  <si>
    <t>HZ2_CZ2</t>
  </si>
  <si>
    <t>EStarHP_hp90_HZ2_CZ2</t>
  </si>
  <si>
    <t>Heat Pump</t>
  </si>
  <si>
    <t>EStarZnl_zonl_HZ2_CZ2</t>
  </si>
  <si>
    <t>Zonal</t>
  </si>
  <si>
    <t>Low Income NEBs</t>
  </si>
  <si>
    <t>Customer Outreach LEDs</t>
  </si>
  <si>
    <t>ML</t>
  </si>
  <si>
    <t>Energy Star Refrigerator</t>
  </si>
  <si>
    <t>E to G Furnace Conversion</t>
  </si>
  <si>
    <t>E to G H2O Conversion</t>
  </si>
  <si>
    <t xml:space="preserve">Health and Safety </t>
  </si>
  <si>
    <t>Dollar for Dollar</t>
  </si>
  <si>
    <t>Estar Windows</t>
  </si>
  <si>
    <t>Estar Doors</t>
  </si>
  <si>
    <t>400 watt HID to 120-175 watt LED 2X4 Troffers</t>
  </si>
  <si>
    <t xml:space="preserve">400 watt HID Fixture to 4-Lamp T5  Fixture </t>
  </si>
  <si>
    <t>400 watt HID Fixture to 6-Lamp High Performance T8 Fixture</t>
  </si>
  <si>
    <t>400 watt HID Fixture to 8-Lamp High Performance T8 Fixture</t>
  </si>
  <si>
    <t>40 watt Incandescent to 6-10 watt LED lamp</t>
  </si>
  <si>
    <t xml:space="preserve">60 watt Incandescent to 9-13 watt LED lamp </t>
  </si>
  <si>
    <t>75-100 watt Incandescent to 12-20 watt LED lamp</t>
  </si>
  <si>
    <t>Over 150 watt Incandescent to 50-60W LED</t>
  </si>
  <si>
    <t xml:space="preserve">20 watt MR16 (GU10 Base) to MR16 LED 2-4 watt </t>
  </si>
  <si>
    <t xml:space="preserve">35 watt MR16 (GU10 Base) to MR16 LED 4-6 watt </t>
  </si>
  <si>
    <t xml:space="preserve">50 watt MR16 (GU10 Base) to MR16 LED 6-9 watt </t>
  </si>
  <si>
    <t>75-100 watt Incandescent to LED*  12-20 watt Fixture</t>
  </si>
  <si>
    <t>4-Lamp T12/T8 Fixture to 2-Lamp LED</t>
  </si>
  <si>
    <t>4-Lamp T12/T8 Fixture to 2-Lamp HP T8 Fixture/Retrofit</t>
  </si>
  <si>
    <t>3-Lamp T12/T8 Fixture to LED Qualified 2x4 Fixture</t>
  </si>
  <si>
    <t>3-Lamp T12/T8 Fixture to 2-Lamp HP T8 Fixture/Retrofit</t>
  </si>
  <si>
    <t>2-Lamp T12/T8 Fixture  to 1-Lamp HP T8 Fixture/Retrofit</t>
  </si>
  <si>
    <t>2-Lamp T12/T8 Fixture to 1 Lamp LED Qualified 1x4 Fixture</t>
  </si>
  <si>
    <t>2-Lamp T12/T8 Fixture to LED Qualified 2x4 Fixture</t>
  </si>
  <si>
    <t>250 watt HID to 85-140 LED</t>
  </si>
  <si>
    <t>1000 watt HID to 300-400 wattLED</t>
  </si>
  <si>
    <t xml:space="preserve">4':  1-Lamp LED 22-28 watt T5 Retro Tube Lamp </t>
  </si>
  <si>
    <t>4':  1-Lamp LED 8-23 watt T8 RetroTube Lamp</t>
  </si>
  <si>
    <t>Occupancy sensors built in with relays (not switch sensors)</t>
  </si>
  <si>
    <t>Less than R11 attic insulation (E/E) to R30-R44 Attic Insulation</t>
  </si>
  <si>
    <t>Less than R11 attic insulation (E/E) to R45+ Attic Insulation</t>
  </si>
  <si>
    <t>Less than R11 roof insulation (E/E) to R30+ Roof Insulation</t>
  </si>
  <si>
    <t>Less than R4 wall insulation (E/E) to R11-R18 Wall Insulation</t>
  </si>
  <si>
    <t>Less than R4 wall insulation (E/E) to R19+ Wall Insulation</t>
  </si>
  <si>
    <t>Prescriptive VFDs - HVAC Cooling Pump</t>
  </si>
  <si>
    <t>Prescriptive VFDs - HVAC Fan</t>
  </si>
  <si>
    <t>Prescriptive VFDS - HVAC Heating Pump or combo</t>
  </si>
  <si>
    <t>Interior Pres Lighting</t>
  </si>
  <si>
    <t>Exterior Pres Lighting</t>
  </si>
  <si>
    <t>Fleet Heat</t>
  </si>
  <si>
    <t>Non-Residential</t>
  </si>
  <si>
    <t>Prescriptive Lighting</t>
  </si>
  <si>
    <t>Annual NEBs(Lower Maintenance Costs from longer lives)</t>
  </si>
  <si>
    <t>Washington Low Income</t>
  </si>
  <si>
    <t>WA Elec (w/o LI)</t>
  </si>
  <si>
    <t>WA Elec (Everything)</t>
  </si>
  <si>
    <t>NEEA</t>
  </si>
  <si>
    <t>Budget</t>
  </si>
  <si>
    <t>WA Total Electric Budget</t>
  </si>
  <si>
    <t>Residential Prescriptive</t>
  </si>
  <si>
    <t>Nonresidential lighting interior</t>
  </si>
  <si>
    <t>Nonresidential lighting exterior</t>
  </si>
  <si>
    <t>Prescriptive Shell</t>
  </si>
  <si>
    <t>Green Motors</t>
  </si>
  <si>
    <t>2018 Est Units</t>
  </si>
  <si>
    <t>0.81 to 1.00 GPM electric pre-rinse sprayer</t>
  </si>
  <si>
    <t>Efficient combination oven (&gt;= 16 pan and &lt;= 20 pan) electric</t>
  </si>
  <si>
    <t>Efficient combination oven (&gt;= 6 pan and &lt;= 15 pan) electric</t>
  </si>
  <si>
    <t>Efficient hot food holding cabinet, 1/2 size</t>
  </si>
  <si>
    <t>Efficient hot food holding cabinet, full size</t>
  </si>
  <si>
    <t>Standard Efficiency Appliance to H.E. electric griddle, 70% effic. or better</t>
  </si>
  <si>
    <t>High temp electric hot water dishwasher</t>
  </si>
  <si>
    <t>Low temp electric hot water dishwasher</t>
  </si>
  <si>
    <t>15 HP Industrial</t>
  </si>
  <si>
    <t>20 HP Ind</t>
  </si>
  <si>
    <t>25 HP Ind</t>
  </si>
  <si>
    <t>30 HP Ind</t>
  </si>
  <si>
    <t>40 HP Ind</t>
  </si>
  <si>
    <t>50 HP Ind</t>
  </si>
  <si>
    <t>60 HP Ind</t>
  </si>
  <si>
    <t>75 HP Ind</t>
  </si>
  <si>
    <t>100 HP Ind</t>
  </si>
  <si>
    <t>125 HP Ind</t>
  </si>
  <si>
    <t>150 HP Ind</t>
  </si>
  <si>
    <t>200 HP Ind</t>
  </si>
  <si>
    <t>250 HP Ind</t>
  </si>
  <si>
    <t>300 HP Ind</t>
  </si>
  <si>
    <t>350 HP Ind</t>
  </si>
  <si>
    <t>400 HP Ind</t>
  </si>
  <si>
    <t>450 HP Ind</t>
  </si>
  <si>
    <t>4500 HP Ind</t>
  </si>
  <si>
    <t>500 HP Ind</t>
  </si>
  <si>
    <t>600 HP Ind</t>
  </si>
  <si>
    <t>700 HP Ind</t>
  </si>
  <si>
    <t>800 HP Ind</t>
  </si>
  <si>
    <t>900 HP Ind</t>
  </si>
  <si>
    <t>1000 HP Ind</t>
  </si>
  <si>
    <t>1250 HP Ind</t>
  </si>
  <si>
    <t>1500 HP Ind</t>
  </si>
  <si>
    <t>1750 HP Ind</t>
  </si>
  <si>
    <t>2000 HP Ind</t>
  </si>
  <si>
    <t>2250 HP Ind</t>
  </si>
  <si>
    <t>2500 HP Ind</t>
  </si>
  <si>
    <t>3000 HP Ind</t>
  </si>
  <si>
    <t>3500 HP Ind</t>
  </si>
  <si>
    <t>4000 HP Ind</t>
  </si>
  <si>
    <t>5000 HP Ind</t>
  </si>
  <si>
    <t>Ref</t>
  </si>
  <si>
    <t>Food Services</t>
  </si>
  <si>
    <t>Variable Frequency Drives</t>
  </si>
  <si>
    <t>Low Income</t>
  </si>
  <si>
    <t>UOM</t>
  </si>
  <si>
    <t>MWh Savings</t>
  </si>
  <si>
    <t>ResSFWx_v3_7</t>
  </si>
  <si>
    <t>ResConnectedTstats_v1.3</t>
  </si>
  <si>
    <t>ResSFExistingHVAC_v4_2</t>
  </si>
  <si>
    <t>ResHPWH_v4_1</t>
  </si>
  <si>
    <t>Carryover from 2018</t>
  </si>
  <si>
    <t>ResMHNewHomesandHVAC_v3_4</t>
  </si>
  <si>
    <t>Savings Source</t>
  </si>
  <si>
    <t>Avista_2019_Forecast_8_17_2018.xlsx</t>
  </si>
  <si>
    <t>A</t>
  </si>
  <si>
    <t>Other Sources</t>
  </si>
  <si>
    <t>B</t>
  </si>
  <si>
    <t>October_2018-Measure-Changes - Proposed Incentives Lamps.xlsx</t>
  </si>
  <si>
    <t>C</t>
  </si>
  <si>
    <t>Windows</t>
  </si>
  <si>
    <t>Open</t>
  </si>
  <si>
    <t>ResLighting_v6_1</t>
  </si>
  <si>
    <t>D</t>
  </si>
  <si>
    <t>Weatherization Program Exhibit</t>
  </si>
  <si>
    <t>ResSFDuctSealing_v4_4.xlsx</t>
  </si>
  <si>
    <t>ResDHPonFAF_v1_6</t>
  </si>
  <si>
    <t>Showerheads_v3.1</t>
  </si>
  <si>
    <t>Showerhead Incentive Amounts.pdf</t>
  </si>
  <si>
    <t>Ind_and_Ag_GreenMotorRewind_v3_1</t>
  </si>
  <si>
    <t>Multifamily Direct Install</t>
  </si>
  <si>
    <t>ComGroceryWalkinECM_v3_0</t>
  </si>
  <si>
    <t>ComGroceryStripCurtain_v1_7</t>
  </si>
  <si>
    <t>ComGroceryFHPSingleCompressor_v1_6</t>
  </si>
  <si>
    <t>ComGroceryWalkinEvapFanECMController_v3_0</t>
  </si>
  <si>
    <t>CommGroceryDisplayCaseECMs_v3_3</t>
  </si>
  <si>
    <t>ComGroceryDoorGasketReplacement_v1_5</t>
  </si>
  <si>
    <t>ConGroceryAntiSweatHeaterControls_v3_1</t>
  </si>
  <si>
    <t>ComCookingSteamer_v3_0</t>
  </si>
  <si>
    <t>ComCookingPreRinseSprayValve_v2_4</t>
  </si>
  <si>
    <t>On-Demand Commercial Overwrapper</t>
  </si>
  <si>
    <t>ComOnDemandOverwrappers_v1_0</t>
  </si>
  <si>
    <t>ComCookingCombinationOven_v3_0</t>
  </si>
  <si>
    <t>ComCookingConvectionOven_v3_0</t>
  </si>
  <si>
    <t>ComCookingHotFoodCabinet_v3_0</t>
  </si>
  <si>
    <t>Electric fryer (Large Vat Size)</t>
  </si>
  <si>
    <t>ComCookingFryer_v3_0</t>
  </si>
  <si>
    <t>ComRefrideratorFreezer_v4_2</t>
  </si>
  <si>
    <t>ComGroceryCompressorECM_v2_3</t>
  </si>
  <si>
    <t>12-20 watt LED Fixture Retrofit</t>
  </si>
  <si>
    <t>Occ Sensors</t>
  </si>
  <si>
    <t>T5HO TLED</t>
  </si>
  <si>
    <t>U-Bend</t>
  </si>
  <si>
    <t>2x2 fixtures</t>
  </si>
  <si>
    <t>2x4 fixtures</t>
  </si>
  <si>
    <t xml:space="preserve">100 watt NC fixture </t>
  </si>
  <si>
    <t>140 watt NC fixture</t>
  </si>
  <si>
    <t>160 watt NC fixture</t>
  </si>
  <si>
    <t>Sign Lighting</t>
  </si>
  <si>
    <t>HHS</t>
  </si>
  <si>
    <t>Direct Install</t>
  </si>
  <si>
    <t>8' T8 TLED</t>
  </si>
  <si>
    <t>ComGroceryDisplayCaceLighting_v1.0</t>
  </si>
  <si>
    <t>Incentives</t>
  </si>
  <si>
    <t>NIUC</t>
  </si>
  <si>
    <t>MFF</t>
  </si>
  <si>
    <t>Grocer</t>
  </si>
  <si>
    <t>Efficient Electric convection oven full size</t>
  </si>
  <si>
    <t>Most Favorable Fuel</t>
  </si>
  <si>
    <t>2-9 watt MR16</t>
  </si>
  <si>
    <t>LLLC Fixture</t>
  </si>
  <si>
    <t>2019 Books</t>
  </si>
  <si>
    <t>Efficient hot food holding cabinet, Double Size</t>
  </si>
  <si>
    <t>TBD</t>
  </si>
  <si>
    <t>Low-Income Program</t>
  </si>
  <si>
    <t>Total Low-Income</t>
  </si>
  <si>
    <t>Outreach LEDs</t>
  </si>
  <si>
    <t>CPA &amp; EM&amp;V</t>
  </si>
  <si>
    <t>Attic Insulation_R0 - R38_HZ2_Zonal</t>
  </si>
  <si>
    <t>Attic Insulation_R0 - R49_HZ2_Zonal</t>
  </si>
  <si>
    <t>Wall Insulation_R0 - R11_HZ2_Zonal</t>
  </si>
  <si>
    <t>Floor Insulation_R0 - R19_HZ2_Zonal</t>
  </si>
  <si>
    <t>Floor Insulation_R0 - R30_HZ2_Zonal</t>
  </si>
  <si>
    <t>T8 TLED 4'</t>
  </si>
  <si>
    <t>T8 TLED 2'</t>
  </si>
  <si>
    <t>T8 TLED 3'</t>
  </si>
  <si>
    <t>Multifamily Weatherization</t>
  </si>
  <si>
    <t>Pilot Programs</t>
  </si>
  <si>
    <t>Insulated Door_R2.5 - R5_HZ2_Zonal (Energy Star Rated or Insulated R5)</t>
  </si>
  <si>
    <t>Line Voltage Communicating Thermostat</t>
  </si>
  <si>
    <t>Line Voltage Thermostat</t>
  </si>
  <si>
    <t xml:space="preserve">Windows </t>
  </si>
  <si>
    <t>Low E Storm Window</t>
  </si>
  <si>
    <t>Overall kWh Savings</t>
  </si>
  <si>
    <t>Non-Incentive Utility Costs</t>
  </si>
  <si>
    <t>Total Costs</t>
  </si>
  <si>
    <t>Smart Thermostats - DIY</t>
  </si>
  <si>
    <t>Smart Thermostats - Contractor Installed</t>
  </si>
  <si>
    <t>Airsource Heat Pump</t>
  </si>
  <si>
    <t>Energy Star Homes - Manufactured, Electric, Dual Fuel</t>
  </si>
  <si>
    <t>Storm Windows</t>
  </si>
  <si>
    <t>Heat Pump Water Heater</t>
  </si>
  <si>
    <t>Wall Insulation</t>
  </si>
  <si>
    <t>Floor Insulation</t>
  </si>
  <si>
    <t>Attic Insulation</t>
  </si>
  <si>
    <t>Air Infiltration - Electric</t>
  </si>
  <si>
    <t>Energy Star Rated Doors</t>
  </si>
  <si>
    <t>Energy Star Rated Refrigerator</t>
  </si>
  <si>
    <t>Duct Insulation</t>
  </si>
  <si>
    <t>Duct Sealing</t>
  </si>
  <si>
    <t>Tier2-3 HPWH</t>
  </si>
  <si>
    <t>Conversion to Airsource Heat Pump</t>
  </si>
  <si>
    <t>Total Residential</t>
  </si>
  <si>
    <t>MFDI</t>
  </si>
  <si>
    <t>Total Non-Residential</t>
  </si>
  <si>
    <t>Compressed Air</t>
  </si>
  <si>
    <t>Commercial</t>
  </si>
  <si>
    <t>Active Energy Management</t>
  </si>
  <si>
    <t>On-Bill Repayment</t>
  </si>
  <si>
    <t>2022 WA Electric ACP</t>
  </si>
  <si>
    <t>Standard Size Refrigerator and Refrigerator-Freezer - Bottom-mounted Freezer - ESME</t>
  </si>
  <si>
    <t>Standard Size Freezer - Upright - ESME</t>
  </si>
  <si>
    <t>Energy Star Washer</t>
  </si>
  <si>
    <t>Ductless Heat Pumps (displace Zonal)</t>
  </si>
  <si>
    <t>Ductless Heat Pumps (with existing FAF)</t>
  </si>
  <si>
    <t>1x4 fixture</t>
  </si>
  <si>
    <t xml:space="preserve">TLED to TLED </t>
  </si>
  <si>
    <t>Combination Oven Electric_3-4 Pans</t>
  </si>
  <si>
    <t>Combination Oven Electric_5-14 Pans</t>
  </si>
  <si>
    <t>Combination Oven Electric_15-28 Pans</t>
  </si>
  <si>
    <t>Combination Oven Electric_29-40 Pans</t>
  </si>
  <si>
    <t>3-4 pan electric steamer</t>
  </si>
  <si>
    <t>5-6 pan electric steamer</t>
  </si>
  <si>
    <t>7-12 pan electric steamer</t>
  </si>
  <si>
    <t>Batch-IMH-1500</t>
  </si>
  <si>
    <t>Batch-IMH-4000</t>
  </si>
  <si>
    <t>Batch-RCU-4000</t>
  </si>
  <si>
    <t>Batch-SCU-4000</t>
  </si>
  <si>
    <t>Continuous-RCU-800</t>
  </si>
  <si>
    <t>Continuous-RCU-4000</t>
  </si>
  <si>
    <t>Always On</t>
  </si>
  <si>
    <t>OBR</t>
  </si>
  <si>
    <t xml:space="preserve">T8 8' strip fixture </t>
  </si>
  <si>
    <t>Ductless Heat Pump 9.0 or greater with resistance Heat</t>
  </si>
  <si>
    <t>NEIs</t>
  </si>
  <si>
    <t>Elec NEIs</t>
  </si>
  <si>
    <t>Gas NEIs</t>
  </si>
  <si>
    <t>Non-Energy Impacts</t>
  </si>
  <si>
    <t xml:space="preserve">6LT5HO to 160 watt fixture </t>
  </si>
  <si>
    <t xml:space="preserve">4LT5HO to 135 watt fixture </t>
  </si>
  <si>
    <t>T5 TLED 4'</t>
  </si>
  <si>
    <t>CFL to CFLED</t>
  </si>
  <si>
    <t>89 to 25 watt fixture/lamp</t>
  </si>
  <si>
    <t>100 to 30 watt fixture/lamp</t>
  </si>
  <si>
    <t>150 to 50 watt fixture/lamp</t>
  </si>
  <si>
    <t>175 to 100 watt fixture/lamp</t>
  </si>
  <si>
    <t>250 to 140 watt fixture/lamp</t>
  </si>
  <si>
    <t>320 to 160 watt fixture/lamp</t>
  </si>
  <si>
    <t>400 to 175 watt fixture/lamp</t>
  </si>
  <si>
    <t>750 to 300 watt fixture/lamp</t>
  </si>
  <si>
    <t>1000 to 400 watt fixture/lamp</t>
  </si>
  <si>
    <t>575 to 300 watt fixture/lamp</t>
  </si>
  <si>
    <t>250 to 140 watt fixture/Lamp</t>
  </si>
  <si>
    <t>400 to 175 watt fixture/Lamp</t>
  </si>
  <si>
    <t>1000 to 400 watt fixture/Lamp</t>
  </si>
  <si>
    <t>Ductless Heat Pump (single Head) (w FAF)</t>
  </si>
  <si>
    <t>Ductless Heat Pump (single head) (displace zonal)</t>
  </si>
  <si>
    <t>Ductless Heat Pump (multi head) (w FAF)</t>
  </si>
  <si>
    <t>Ductless Heat Pump (multi head) (displace zonal)</t>
  </si>
  <si>
    <t>AEM</t>
  </si>
  <si>
    <t>Quanity</t>
  </si>
  <si>
    <t>NEI/Unit</t>
  </si>
  <si>
    <t>Int Lighting</t>
  </si>
  <si>
    <t>Named Community Pilot Program</t>
  </si>
  <si>
    <t>Total Pilot Programs</t>
  </si>
  <si>
    <t>Named Communities</t>
  </si>
  <si>
    <t>Energy Star Dryer</t>
  </si>
  <si>
    <t>Insulated Door R2.5-R5 HZ2 Zonal (ENERGY STAR Rated or Insulated R5)</t>
  </si>
  <si>
    <t>Market Transformation</t>
  </si>
  <si>
    <t>Low Income Programs</t>
  </si>
  <si>
    <t>Residential Prescriptive - HVAC</t>
  </si>
  <si>
    <t>Residential Prescriptive - Appliances</t>
  </si>
  <si>
    <t>Residential Prescriptive - Shell</t>
  </si>
  <si>
    <t>Residential Prescritive - Water Heat</t>
  </si>
  <si>
    <t>Residential Prescriptive - Estar Homes</t>
  </si>
  <si>
    <t>Commercial Lighting</t>
  </si>
  <si>
    <t>Commercial Shell</t>
  </si>
  <si>
    <t>Green Motors Rewind</t>
  </si>
  <si>
    <t>Energy Efficiency</t>
  </si>
  <si>
    <t>Site Specific- nonresidential</t>
  </si>
  <si>
    <t>Non-Residential Lighting</t>
  </si>
  <si>
    <t>“Always On” Behavioral Pilot</t>
  </si>
  <si>
    <t>Nonresidential Prescriptive</t>
  </si>
  <si>
    <t>Low Income Program</t>
  </si>
  <si>
    <t>Multifamily/ Small Home Weatherization</t>
  </si>
  <si>
    <t>On-bill Repayment</t>
  </si>
  <si>
    <t>Total Energy Efficiency</t>
  </si>
  <si>
    <t xml:space="preserve">Total </t>
  </si>
  <si>
    <t>CPA and EM&amp;V Expense</t>
  </si>
  <si>
    <t>Named Communities - NEW</t>
  </si>
  <si>
    <t>Residential Prescriptive - Water Heat</t>
  </si>
  <si>
    <t>2022 ONLY</t>
  </si>
  <si>
    <t>MWh Savings (2022/CEIP)</t>
  </si>
  <si>
    <t>Site Specific / Customer Projects</t>
  </si>
  <si>
    <t>Commercial Interior and Exterior Lighting</t>
  </si>
  <si>
    <t>Always On Behavioral Program</t>
  </si>
  <si>
    <t>Commercial Shell and Weatherization</t>
  </si>
  <si>
    <t>Commercial Prescriptive Grocer</t>
  </si>
  <si>
    <t>Year</t>
  </si>
  <si>
    <t>Incentives/ Direct Customer Benefit</t>
  </si>
  <si>
    <t>General Implantation Expense</t>
  </si>
  <si>
    <t>Total Spending</t>
  </si>
  <si>
    <t xml:space="preserve">Commercial Prescriptive </t>
  </si>
  <si>
    <t>Energy Star Homes</t>
  </si>
  <si>
    <t>Residential HVAC</t>
  </si>
  <si>
    <t>Residential Appliances</t>
  </si>
  <si>
    <t>Res Shell</t>
  </si>
  <si>
    <t>Res Water Heat</t>
  </si>
  <si>
    <t>MF Wx</t>
  </si>
  <si>
    <t>Low Inc</t>
  </si>
  <si>
    <t>NR Shell</t>
  </si>
  <si>
    <t>Ext Lighting</t>
  </si>
  <si>
    <t>VFD</t>
  </si>
  <si>
    <t>Fleet</t>
  </si>
  <si>
    <t>Food</t>
  </si>
  <si>
    <t>Pilots and Other</t>
  </si>
  <si>
    <t>TOTAL</t>
  </si>
  <si>
    <t>WA Elec</t>
  </si>
  <si>
    <t>In Millions</t>
  </si>
  <si>
    <t>MWH</t>
  </si>
  <si>
    <t>Dollars</t>
  </si>
  <si>
    <t>2% escallation</t>
  </si>
  <si>
    <t>4 year</t>
  </si>
  <si>
    <t>1 year</t>
  </si>
  <si>
    <t xml:space="preserve">4 year MWH goal </t>
  </si>
  <si>
    <t>4 year MWh savings</t>
  </si>
  <si>
    <t>4 year NEIs</t>
  </si>
  <si>
    <t>NEIs per mwh</t>
  </si>
  <si>
    <t>Percent commercial NEI</t>
  </si>
  <si>
    <t>Percent residential NEI</t>
  </si>
  <si>
    <t>Percent LI Nei</t>
  </si>
  <si>
    <t>4 year NEI per MW by program</t>
  </si>
  <si>
    <t xml:space="preserve">Commercial </t>
  </si>
  <si>
    <t>Distribution of NEIs by Program Type</t>
  </si>
  <si>
    <t>Estimated Distribution of NEI value, 2022-2025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</si>
</sst>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  <numFmt numFmtId="167" formatCode="m/d/\ h:mm"/>
    <numFmt numFmtId="168" formatCode="&quot;$&quot;#,##0"/>
    <numFmt numFmtId="169" formatCode="&quot;$&quot;#,##0.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u/>
      <sz val="10"/>
      <color theme="1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8"/>
      <color theme="1"/>
      <name val="Calibri"/>
      <family val="2"/>
    </font>
    <font>
      <sz val="10"/>
      <name val="Verdana"/>
      <family val="2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.5"/>
      <color rgb="FFFFFFFF"/>
      <name val="Arial"/>
      <family val="2"/>
    </font>
    <font>
      <b/>
      <sz val="8"/>
      <color rgb="FFF4802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7CE"/>
      </patternFill>
    </fill>
    <fill>
      <patternFill patternType="solid">
        <fgColor theme="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E74B5"/>
        <bgColor indexed="64"/>
      </patternFill>
    </fill>
    <fill>
      <patternFill patternType="solid">
        <fgColor rgb="FF82C341"/>
        <bgColor indexed="64"/>
      </patternFill>
    </fill>
    <fill>
      <patternFill patternType="solid">
        <fgColor rgb="FFF2F2F2"/>
      </patternFill>
    </fill>
    <fill>
      <patternFill patternType="solid">
        <fgColor rgb="FFFFEB9C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939597"/>
      </left>
      <right/>
      <top/>
      <bottom style="medium">
        <color rgb="FFDBDCDE"/>
      </bottom>
      <diagonal/>
    </border>
    <border>
      <left style="medium">
        <color rgb="FF939597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939597"/>
      </left>
      <right/>
      <top style="medium">
        <color rgb="FF939597"/>
      </top>
      <bottom style="medium">
        <color rgb="FFDBDCDE"/>
      </bottom>
      <diagonal/>
    </border>
    <border>
      <left style="thick">
        <color rgb="FF2E74B5"/>
      </left>
      <right style="medium">
        <color indexed="64"/>
      </right>
      <top style="thick">
        <color rgb="FF2E74B5"/>
      </top>
      <bottom style="medium">
        <color indexed="64"/>
      </bottom>
      <diagonal/>
    </border>
    <border>
      <left/>
      <right style="medium">
        <color indexed="64"/>
      </right>
      <top style="thick">
        <color rgb="FF2E74B5"/>
      </top>
      <bottom style="medium">
        <color indexed="64"/>
      </bottom>
      <diagonal/>
    </border>
    <border>
      <left/>
      <right style="thick">
        <color rgb="FF2E74B5"/>
      </right>
      <top style="thick">
        <color rgb="FF2E74B5"/>
      </top>
      <bottom style="medium">
        <color indexed="64"/>
      </bottom>
      <diagonal/>
    </border>
    <border>
      <left style="thick">
        <color rgb="FF2E74B5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rgb="FF2E74B5"/>
      </right>
      <top/>
      <bottom style="medium">
        <color indexed="64"/>
      </bottom>
      <diagonal/>
    </border>
    <border>
      <left style="medium">
        <color rgb="FF939597"/>
      </left>
      <right/>
      <top style="medium">
        <color rgb="FF939597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>
      <alignment readingOrder="1"/>
    </xf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0" applyNumberFormat="0" applyAlignment="0">
      <alignment horizontal="right"/>
    </xf>
    <xf numFmtId="0" fontId="2" fillId="7" borderId="0" applyNumberFormat="0" applyAlignment="0"/>
    <xf numFmtId="167" fontId="12" fillId="0" borderId="0"/>
    <xf numFmtId="0" fontId="13" fillId="0" borderId="0">
      <alignment horizontal="center" wrapText="1"/>
    </xf>
    <xf numFmtId="0" fontId="10" fillId="9" borderId="12">
      <alignment horizontal="left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readingOrder="1"/>
    </xf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0" applyNumberFormat="0" applyAlignment="0">
      <alignment horizontal="right"/>
    </xf>
    <xf numFmtId="0" fontId="14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2" fillId="0" borderId="0">
      <alignment readingOrder="1"/>
    </xf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>
      <alignment readingOrder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20" fillId="11" borderId="0" applyNumberFormat="0" applyBorder="0" applyAlignment="0" applyProtection="0"/>
    <xf numFmtId="0" fontId="21" fillId="28" borderId="13" applyNumberFormat="0" applyAlignment="0" applyProtection="0"/>
    <xf numFmtId="0" fontId="22" fillId="29" borderId="14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0" applyNumberFormat="0" applyAlignment="0">
      <alignment horizontal="right"/>
    </xf>
    <xf numFmtId="0" fontId="2" fillId="8" borderId="0" applyNumberFormat="0" applyAlignment="0">
      <alignment horizontal="right"/>
    </xf>
    <xf numFmtId="0" fontId="23" fillId="0" borderId="0" applyNumberFormat="0" applyFill="0" applyBorder="0" applyAlignment="0" applyProtection="0"/>
    <xf numFmtId="0" fontId="24" fillId="12" borderId="0" applyNumberFormat="0" applyBorder="0" applyAlignment="0" applyProtection="0"/>
    <xf numFmtId="0" fontId="25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26" fillId="15" borderId="13" applyNumberFormat="0" applyAlignment="0" applyProtection="0"/>
    <xf numFmtId="0" fontId="27" fillId="0" borderId="17" applyNumberFormat="0" applyFill="0" applyAlignment="0" applyProtection="0"/>
    <xf numFmtId="0" fontId="28" fillId="30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readingOrder="1"/>
    </xf>
    <xf numFmtId="0" fontId="2" fillId="0" borderId="0">
      <alignment readingOrder="1"/>
    </xf>
    <xf numFmtId="0" fontId="2" fillId="0" borderId="0"/>
    <xf numFmtId="0" fontId="2" fillId="0" borderId="0"/>
    <xf numFmtId="0" fontId="1" fillId="0" borderId="0"/>
    <xf numFmtId="0" fontId="2" fillId="0" borderId="0">
      <alignment readingOrder="1"/>
    </xf>
    <xf numFmtId="0" fontId="14" fillId="31" borderId="18" applyNumberFormat="0" applyFont="0" applyAlignment="0" applyProtection="0"/>
    <xf numFmtId="0" fontId="29" fillId="28" borderId="1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>
      <alignment readingOrder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28" borderId="22" applyNumberFormat="0" applyAlignment="0" applyProtection="0"/>
    <xf numFmtId="0" fontId="10" fillId="9" borderId="21">
      <alignment horizontal="left"/>
    </xf>
    <xf numFmtId="0" fontId="15" fillId="0" borderId="25" applyNumberFormat="0" applyFill="0" applyAlignment="0" applyProtection="0"/>
    <xf numFmtId="0" fontId="29" fillId="28" borderId="24" applyNumberFormat="0" applyAlignment="0" applyProtection="0"/>
    <xf numFmtId="0" fontId="14" fillId="31" borderId="23" applyNumberFormat="0" applyFont="0" applyAlignment="0" applyProtection="0"/>
    <xf numFmtId="0" fontId="26" fillId="15" borderId="22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0" applyNumberFormat="0" applyAlignment="0">
      <alignment horizontal="right"/>
    </xf>
    <xf numFmtId="0" fontId="2" fillId="7" borderId="0" applyNumberFormat="0" applyAlignment="0"/>
    <xf numFmtId="0" fontId="32" fillId="0" borderId="0"/>
    <xf numFmtId="0" fontId="32" fillId="0" borderId="0"/>
    <xf numFmtId="0" fontId="33" fillId="0" borderId="0"/>
    <xf numFmtId="0" fontId="2" fillId="0" borderId="0">
      <alignment readingOrder="1"/>
    </xf>
    <xf numFmtId="0" fontId="2" fillId="0" borderId="0"/>
    <xf numFmtId="0" fontId="34" fillId="30" borderId="18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30" borderId="23" applyNumberFormat="0" applyFont="0" applyAlignment="0" applyProtection="0"/>
    <xf numFmtId="0" fontId="35" fillId="32" borderId="0" applyNumberFormat="0" applyBorder="0" applyAlignment="0" applyProtection="0"/>
    <xf numFmtId="0" fontId="36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40" fillId="33" borderId="0" applyNumberFormat="0" applyBorder="0" applyAlignment="0" applyProtection="0"/>
    <xf numFmtId="0" fontId="48" fillId="37" borderId="34" applyNumberFormat="0" applyAlignment="0" applyProtection="0"/>
    <xf numFmtId="0" fontId="55" fillId="38" borderId="0" applyNumberFormat="0" applyBorder="0" applyAlignment="0" applyProtection="0"/>
  </cellStyleXfs>
  <cellXfs count="287">
    <xf numFmtId="0" fontId="0" fillId="0" borderId="0" xfId="0"/>
    <xf numFmtId="0" fontId="0" fillId="2" borderId="0" xfId="0" applyFill="1"/>
    <xf numFmtId="164" fontId="0" fillId="0" borderId="0" xfId="1" applyNumberFormat="1" applyFont="1"/>
    <xf numFmtId="0" fontId="0" fillId="3" borderId="0" xfId="0" applyFill="1"/>
    <xf numFmtId="164" fontId="0" fillId="3" borderId="0" xfId="0" applyNumberFormat="1" applyFill="1"/>
    <xf numFmtId="0" fontId="0" fillId="0" borderId="3" xfId="0" applyBorder="1" applyAlignment="1">
      <alignment wrapText="1"/>
    </xf>
    <xf numFmtId="0" fontId="0" fillId="0" borderId="3" xfId="0" applyBorder="1"/>
    <xf numFmtId="44" fontId="0" fillId="0" borderId="0" xfId="0" applyNumberFormat="1"/>
    <xf numFmtId="0" fontId="0" fillId="0" borderId="4" xfId="0" applyFill="1" applyBorder="1"/>
    <xf numFmtId="0" fontId="0" fillId="0" borderId="0" xfId="0"/>
    <xf numFmtId="165" fontId="0" fillId="0" borderId="0" xfId="2" applyNumberFormat="1" applyFon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 applyFill="1" applyAlignment="1">
      <alignment wrapText="1"/>
    </xf>
    <xf numFmtId="0" fontId="0" fillId="4" borderId="3" xfId="0" applyFill="1" applyBorder="1"/>
    <xf numFmtId="44" fontId="0" fillId="4" borderId="3" xfId="2" applyFont="1" applyFill="1" applyBorder="1"/>
    <xf numFmtId="0" fontId="0" fillId="4" borderId="0" xfId="0" applyFill="1"/>
    <xf numFmtId="0" fontId="0" fillId="5" borderId="0" xfId="0" applyFill="1"/>
    <xf numFmtId="44" fontId="0" fillId="5" borderId="3" xfId="2" applyFont="1" applyFill="1" applyBorder="1"/>
    <xf numFmtId="44" fontId="0" fillId="5" borderId="3" xfId="0" applyNumberFormat="1" applyFill="1" applyBorder="1"/>
    <xf numFmtId="43" fontId="0" fillId="5" borderId="3" xfId="1" applyFont="1" applyFill="1" applyBorder="1"/>
    <xf numFmtId="164" fontId="0" fillId="5" borderId="3" xfId="1" applyNumberFormat="1" applyFont="1" applyFill="1" applyBorder="1"/>
    <xf numFmtId="0" fontId="0" fillId="0" borderId="4" xfId="0" applyFill="1" applyBorder="1"/>
    <xf numFmtId="0" fontId="0" fillId="0" borderId="0" xfId="0"/>
    <xf numFmtId="0" fontId="0" fillId="0" borderId="3" xfId="0" applyBorder="1"/>
    <xf numFmtId="43" fontId="0" fillId="0" borderId="0" xfId="0" applyNumberFormat="1"/>
    <xf numFmtId="44" fontId="0" fillId="0" borderId="0" xfId="2" applyFont="1"/>
    <xf numFmtId="0" fontId="7" fillId="0" borderId="0" xfId="0" applyFont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3" borderId="0" xfId="0" applyFill="1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3" borderId="2" xfId="0" applyFill="1" applyBorder="1"/>
    <xf numFmtId="0" fontId="0" fillId="0" borderId="11" xfId="0" applyBorder="1"/>
    <xf numFmtId="0" fontId="0" fillId="0" borderId="5" xfId="0" applyFill="1" applyBorder="1"/>
    <xf numFmtId="0" fontId="0" fillId="0" borderId="6" xfId="0" applyFill="1" applyBorder="1"/>
    <xf numFmtId="1" fontId="0" fillId="0" borderId="6" xfId="0" applyNumberFormat="1" applyFill="1" applyBorder="1"/>
    <xf numFmtId="44" fontId="0" fillId="0" borderId="6" xfId="2" applyFont="1" applyFill="1" applyBorder="1"/>
    <xf numFmtId="44" fontId="0" fillId="3" borderId="6" xfId="2" applyFont="1" applyFill="1" applyBorder="1"/>
    <xf numFmtId="2" fontId="0" fillId="0" borderId="7" xfId="0" applyNumberFormat="1" applyFill="1" applyBorder="1"/>
    <xf numFmtId="0" fontId="0" fillId="0" borderId="8" xfId="0" applyFill="1" applyBorder="1"/>
    <xf numFmtId="1" fontId="0" fillId="0" borderId="0" xfId="0" applyNumberFormat="1" applyFill="1" applyBorder="1"/>
    <xf numFmtId="44" fontId="0" fillId="0" borderId="0" xfId="2" applyFont="1" applyFill="1" applyBorder="1"/>
    <xf numFmtId="44" fontId="0" fillId="3" borderId="0" xfId="2" applyFont="1" applyFill="1" applyBorder="1"/>
    <xf numFmtId="2" fontId="0" fillId="0" borderId="9" xfId="0" applyNumberFormat="1" applyFill="1" applyBorder="1"/>
    <xf numFmtId="0" fontId="0" fillId="0" borderId="10" xfId="0" applyFill="1" applyBorder="1"/>
    <xf numFmtId="0" fontId="0" fillId="0" borderId="2" xfId="0" applyFill="1" applyBorder="1"/>
    <xf numFmtId="1" fontId="0" fillId="0" borderId="2" xfId="0" applyNumberFormat="1" applyFill="1" applyBorder="1"/>
    <xf numFmtId="44" fontId="0" fillId="0" borderId="2" xfId="2" applyFont="1" applyFill="1" applyBorder="1"/>
    <xf numFmtId="44" fontId="0" fillId="3" borderId="2" xfId="2" applyFont="1" applyFill="1" applyBorder="1"/>
    <xf numFmtId="2" fontId="0" fillId="0" borderId="11" xfId="0" applyNumberFormat="1" applyFill="1" applyBorder="1"/>
    <xf numFmtId="1" fontId="0" fillId="0" borderId="6" xfId="0" applyNumberFormat="1" applyBorder="1"/>
    <xf numFmtId="44" fontId="0" fillId="0" borderId="6" xfId="2" applyFont="1" applyBorder="1"/>
    <xf numFmtId="2" fontId="0" fillId="0" borderId="7" xfId="0" applyNumberFormat="1" applyBorder="1"/>
    <xf numFmtId="1" fontId="0" fillId="0" borderId="0" xfId="0" applyNumberFormat="1" applyBorder="1"/>
    <xf numFmtId="44" fontId="0" fillId="0" borderId="0" xfId="2" applyFont="1" applyBorder="1"/>
    <xf numFmtId="2" fontId="0" fillId="0" borderId="9" xfId="0" applyNumberFormat="1" applyBorder="1"/>
    <xf numFmtId="1" fontId="0" fillId="0" borderId="2" xfId="0" applyNumberFormat="1" applyBorder="1"/>
    <xf numFmtId="44" fontId="0" fillId="0" borderId="2" xfId="2" applyFont="1" applyBorder="1"/>
    <xf numFmtId="2" fontId="0" fillId="0" borderId="11" xfId="0" applyNumberFormat="1" applyBorder="1"/>
    <xf numFmtId="2" fontId="0" fillId="0" borderId="6" xfId="0" applyNumberFormat="1" applyBorder="1"/>
    <xf numFmtId="2" fontId="0" fillId="0" borderId="0" xfId="0" applyNumberFormat="1" applyBorder="1"/>
    <xf numFmtId="2" fontId="0" fillId="0" borderId="2" xfId="0" applyNumberFormat="1" applyBorder="1"/>
    <xf numFmtId="166" fontId="0" fillId="0" borderId="0" xfId="0" applyNumberFormat="1" applyBorder="1"/>
    <xf numFmtId="166" fontId="0" fillId="0" borderId="9" xfId="0" applyNumberFormat="1" applyBorder="1"/>
    <xf numFmtId="166" fontId="0" fillId="0" borderId="2" xfId="0" applyNumberFormat="1" applyBorder="1"/>
    <xf numFmtId="166" fontId="0" fillId="0" borderId="11" xfId="0" applyNumberFormat="1" applyBorder="1"/>
    <xf numFmtId="0" fontId="7" fillId="0" borderId="5" xfId="0" applyFont="1" applyFill="1" applyBorder="1"/>
    <xf numFmtId="44" fontId="0" fillId="0" borderId="9" xfId="2" applyFont="1" applyFill="1" applyBorder="1"/>
    <xf numFmtId="166" fontId="0" fillId="4" borderId="3" xfId="0" applyNumberFormat="1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164" fontId="0" fillId="2" borderId="0" xfId="1" applyNumberFormat="1" applyFont="1" applyFill="1" applyAlignment="1">
      <alignment horizontal="center"/>
    </xf>
    <xf numFmtId="165" fontId="0" fillId="2" borderId="0" xfId="2" applyNumberFormat="1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7" xfId="0" applyBorder="1" applyAlignment="1">
      <alignment wrapText="1"/>
    </xf>
    <xf numFmtId="44" fontId="0" fillId="0" borderId="9" xfId="2" applyFont="1" applyBorder="1"/>
    <xf numFmtId="44" fontId="0" fillId="0" borderId="11" xfId="2" applyFont="1" applyBorder="1"/>
    <xf numFmtId="0" fontId="7" fillId="2" borderId="0" xfId="0" applyFont="1" applyFill="1" applyAlignment="1">
      <alignment horizontal="center"/>
    </xf>
    <xf numFmtId="165" fontId="0" fillId="2" borderId="0" xfId="2" applyNumberFormat="1" applyFont="1" applyFill="1"/>
    <xf numFmtId="0" fontId="8" fillId="4" borderId="3" xfId="0" applyFont="1" applyFill="1" applyBorder="1"/>
    <xf numFmtId="44" fontId="8" fillId="4" borderId="3" xfId="2" applyFont="1" applyFill="1" applyBorder="1"/>
    <xf numFmtId="0" fontId="8" fillId="0" borderId="8" xfId="0" applyFont="1" applyBorder="1"/>
    <xf numFmtId="0" fontId="8" fillId="0" borderId="10" xfId="0" applyFont="1" applyBorder="1"/>
    <xf numFmtId="0" fontId="9" fillId="2" borderId="0" xfId="0" applyFont="1" applyFill="1" applyAlignment="1">
      <alignment horizontal="center"/>
    </xf>
    <xf numFmtId="164" fontId="9" fillId="2" borderId="0" xfId="1" applyNumberFormat="1" applyFont="1" applyFill="1" applyAlignment="1">
      <alignment horizontal="center"/>
    </xf>
    <xf numFmtId="165" fontId="9" fillId="2" borderId="0" xfId="2" applyNumberFormat="1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64" fontId="9" fillId="2" borderId="0" xfId="1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0" fillId="3" borderId="8" xfId="0" applyFill="1" applyBorder="1"/>
    <xf numFmtId="1" fontId="0" fillId="3" borderId="0" xfId="0" applyNumberFormat="1" applyFill="1" applyBorder="1"/>
    <xf numFmtId="166" fontId="0" fillId="3" borderId="0" xfId="0" applyNumberFormat="1" applyFill="1" applyBorder="1"/>
    <xf numFmtId="166" fontId="0" fillId="3" borderId="9" xfId="0" applyNumberFormat="1" applyFill="1" applyBorder="1"/>
    <xf numFmtId="0" fontId="9" fillId="4" borderId="3" xfId="0" applyFont="1" applyFill="1" applyBorder="1"/>
    <xf numFmtId="44" fontId="9" fillId="4" borderId="3" xfId="2" applyFont="1" applyFill="1" applyBorder="1"/>
    <xf numFmtId="0" fontId="0" fillId="0" borderId="0" xfId="0"/>
    <xf numFmtId="0" fontId="0" fillId="0" borderId="3" xfId="0" applyBorder="1" applyAlignment="1">
      <alignment wrapText="1"/>
    </xf>
    <xf numFmtId="0" fontId="0" fillId="3" borderId="0" xfId="0" applyFill="1"/>
    <xf numFmtId="164" fontId="9" fillId="4" borderId="3" xfId="1" applyNumberFormat="1" applyFont="1" applyFill="1" applyBorder="1"/>
    <xf numFmtId="43" fontId="9" fillId="4" borderId="3" xfId="1" applyFont="1" applyFill="1" applyBorder="1"/>
    <xf numFmtId="0" fontId="0" fillId="0" borderId="3" xfId="0" applyFill="1" applyBorder="1" applyAlignment="1">
      <alignment wrapText="1"/>
    </xf>
    <xf numFmtId="0" fontId="37" fillId="4" borderId="3" xfId="0" applyFont="1" applyFill="1" applyBorder="1"/>
    <xf numFmtId="164" fontId="38" fillId="4" borderId="3" xfId="1" applyNumberFormat="1" applyFont="1" applyFill="1" applyBorder="1" applyAlignment="1">
      <alignment horizontal="center"/>
    </xf>
    <xf numFmtId="0" fontId="0" fillId="0" borderId="0" xfId="0" applyFill="1"/>
    <xf numFmtId="164" fontId="37" fillId="4" borderId="3" xfId="0" applyNumberFormat="1" applyFont="1" applyFill="1" applyBorder="1"/>
    <xf numFmtId="164" fontId="37" fillId="4" borderId="3" xfId="1" applyNumberFormat="1" applyFont="1" applyFill="1" applyBorder="1"/>
    <xf numFmtId="0" fontId="9" fillId="3" borderId="3" xfId="0" applyFont="1" applyFill="1" applyBorder="1"/>
    <xf numFmtId="164" fontId="0" fillId="2" borderId="0" xfId="0" applyNumberFormat="1" applyFill="1"/>
    <xf numFmtId="44" fontId="0" fillId="0" borderId="0" xfId="0" applyNumberFormat="1" applyBorder="1"/>
    <xf numFmtId="43" fontId="0" fillId="2" borderId="0" xfId="0" applyNumberFormat="1" applyFill="1"/>
    <xf numFmtId="0" fontId="9" fillId="0" borderId="3" xfId="0" applyFont="1" applyFill="1" applyBorder="1"/>
    <xf numFmtId="164" fontId="0" fillId="4" borderId="3" xfId="1" applyNumberFormat="1" applyFont="1" applyFill="1" applyBorder="1" applyAlignment="1">
      <alignment horizontal="center"/>
    </xf>
    <xf numFmtId="164" fontId="9" fillId="4" borderId="3" xfId="1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0" fillId="0" borderId="3" xfId="0" applyFill="1" applyBorder="1"/>
    <xf numFmtId="164" fontId="40" fillId="0" borderId="0" xfId="168" applyNumberFormat="1" applyFill="1" applyBorder="1" applyAlignment="1">
      <alignment horizontal="center"/>
    </xf>
    <xf numFmtId="44" fontId="37" fillId="4" borderId="3" xfId="2" applyFont="1" applyFill="1" applyBorder="1"/>
    <xf numFmtId="165" fontId="9" fillId="2" borderId="0" xfId="2" applyNumberFormat="1" applyFont="1" applyFill="1" applyBorder="1" applyAlignment="1">
      <alignment horizontal="center"/>
    </xf>
    <xf numFmtId="165" fontId="0" fillId="2" borderId="0" xfId="2" applyNumberFormat="1" applyFont="1" applyFill="1" applyBorder="1" applyAlignment="1">
      <alignment horizontal="center"/>
    </xf>
    <xf numFmtId="0" fontId="39" fillId="2" borderId="0" xfId="0" applyFont="1" applyFill="1" applyBorder="1" applyAlignment="1"/>
    <xf numFmtId="0" fontId="0" fillId="2" borderId="0" xfId="0" applyFill="1" applyBorder="1"/>
    <xf numFmtId="0" fontId="9" fillId="2" borderId="0" xfId="0" applyFont="1" applyFill="1" applyBorder="1"/>
    <xf numFmtId="164" fontId="9" fillId="2" borderId="0" xfId="1" applyNumberFormat="1" applyFont="1" applyFill="1" applyBorder="1"/>
    <xf numFmtId="164" fontId="0" fillId="2" borderId="0" xfId="0" applyNumberFormat="1" applyFill="1" applyBorder="1" applyAlignment="1">
      <alignment horizontal="center"/>
    </xf>
    <xf numFmtId="164" fontId="9" fillId="2" borderId="0" xfId="0" applyNumberFormat="1" applyFont="1" applyFill="1" applyBorder="1"/>
    <xf numFmtId="165" fontId="0" fillId="2" borderId="0" xfId="2" applyNumberFormat="1" applyFont="1" applyFill="1" applyBorder="1"/>
    <xf numFmtId="165" fontId="7" fillId="2" borderId="0" xfId="2" applyNumberFormat="1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164" fontId="0" fillId="2" borderId="0" xfId="1" applyNumberFormat="1" applyFont="1" applyFill="1" applyBorder="1"/>
    <xf numFmtId="0" fontId="9" fillId="4" borderId="28" xfId="0" applyFont="1" applyFill="1" applyBorder="1" applyAlignment="1">
      <alignment horizontal="center"/>
    </xf>
    <xf numFmtId="0" fontId="9" fillId="4" borderId="28" xfId="0" applyFont="1" applyFill="1" applyBorder="1"/>
    <xf numFmtId="0" fontId="41" fillId="4" borderId="3" xfId="166" applyFont="1" applyFill="1" applyBorder="1"/>
    <xf numFmtId="0" fontId="35" fillId="32" borderId="3" xfId="165" applyBorder="1"/>
    <xf numFmtId="164" fontId="35" fillId="32" borderId="3" xfId="165" applyNumberFormat="1" applyBorder="1" applyAlignment="1">
      <alignment horizontal="center"/>
    </xf>
    <xf numFmtId="164" fontId="35" fillId="32" borderId="0" xfId="165" applyNumberFormat="1" applyBorder="1" applyAlignment="1">
      <alignment horizontal="center"/>
    </xf>
    <xf numFmtId="164" fontId="35" fillId="32" borderId="28" xfId="165" applyNumberFormat="1" applyBorder="1" applyAlignment="1">
      <alignment horizontal="center"/>
    </xf>
    <xf numFmtId="0" fontId="35" fillId="32" borderId="0" xfId="165"/>
    <xf numFmtId="5" fontId="9" fillId="2" borderId="1" xfId="2" applyNumberFormat="1" applyFont="1" applyFill="1" applyBorder="1" applyAlignment="1">
      <alignment horizontal="right"/>
    </xf>
    <xf numFmtId="5" fontId="9" fillId="2" borderId="0" xfId="2" applyNumberFormat="1" applyFont="1" applyFill="1" applyAlignment="1">
      <alignment horizontal="right"/>
    </xf>
    <xf numFmtId="44" fontId="0" fillId="0" borderId="3" xfId="0" applyNumberFormat="1" applyBorder="1"/>
    <xf numFmtId="5" fontId="0" fillId="0" borderId="0" xfId="0" applyNumberFormat="1"/>
    <xf numFmtId="0" fontId="42" fillId="0" borderId="0" xfId="0" applyFont="1" applyFill="1" applyBorder="1" applyAlignment="1">
      <alignment horizontal="center" vertical="center" wrapText="1"/>
    </xf>
    <xf numFmtId="3" fontId="42" fillId="0" borderId="3" xfId="0" applyNumberFormat="1" applyFont="1" applyBorder="1" applyAlignment="1">
      <alignment horizontal="right" vertical="center" wrapText="1"/>
    </xf>
    <xf numFmtId="3" fontId="42" fillId="0" borderId="0" xfId="0" applyNumberFormat="1" applyFont="1" applyFill="1" applyBorder="1" applyAlignment="1">
      <alignment horizontal="right" vertical="center" wrapText="1"/>
    </xf>
    <xf numFmtId="5" fontId="42" fillId="0" borderId="0" xfId="0" applyNumberFormat="1" applyFont="1" applyFill="1" applyBorder="1" applyAlignment="1">
      <alignment horizontal="right" vertical="center" wrapText="1"/>
    </xf>
    <xf numFmtId="0" fontId="42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right" vertical="center" wrapText="1"/>
    </xf>
    <xf numFmtId="44" fontId="43" fillId="0" borderId="0" xfId="0" applyNumberFormat="1" applyFont="1" applyFill="1" applyBorder="1" applyAlignment="1">
      <alignment vertical="center" wrapText="1"/>
    </xf>
    <xf numFmtId="168" fontId="42" fillId="0" borderId="3" xfId="0" applyNumberFormat="1" applyFont="1" applyBorder="1" applyAlignment="1">
      <alignment horizontal="right" vertical="center" wrapText="1"/>
    </xf>
    <xf numFmtId="0" fontId="44" fillId="0" borderId="0" xfId="0" applyFont="1" applyBorder="1" applyAlignment="1">
      <alignment vertical="center" wrapText="1"/>
    </xf>
    <xf numFmtId="3" fontId="43" fillId="0" borderId="0" xfId="0" applyNumberFormat="1" applyFont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168" fontId="43" fillId="0" borderId="0" xfId="0" applyNumberFormat="1" applyFont="1" applyBorder="1" applyAlignment="1">
      <alignment vertical="center" wrapText="1"/>
    </xf>
    <xf numFmtId="43" fontId="0" fillId="0" borderId="3" xfId="1" applyFont="1" applyBorder="1"/>
    <xf numFmtId="168" fontId="9" fillId="2" borderId="0" xfId="2" applyNumberFormat="1" applyFont="1" applyFill="1" applyAlignment="1">
      <alignment horizontal="right"/>
    </xf>
    <xf numFmtId="168" fontId="9" fillId="2" borderId="0" xfId="2" applyNumberFormat="1" applyFont="1" applyFill="1" applyBorder="1" applyAlignment="1">
      <alignment horizontal="right"/>
    </xf>
    <xf numFmtId="168" fontId="9" fillId="2" borderId="1" xfId="2" applyNumberFormat="1" applyFont="1" applyFill="1" applyBorder="1" applyAlignment="1">
      <alignment horizontal="right"/>
    </xf>
    <xf numFmtId="43" fontId="0" fillId="2" borderId="0" xfId="0" applyNumberFormat="1" applyFill="1" applyBorder="1"/>
    <xf numFmtId="5" fontId="9" fillId="0" borderId="1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47" fillId="0" borderId="0" xfId="0" applyFont="1" applyAlignment="1">
      <alignment horizontal="center" vertical="center"/>
    </xf>
    <xf numFmtId="43" fontId="9" fillId="2" borderId="0" xfId="1" applyFont="1" applyFill="1" applyBorder="1"/>
    <xf numFmtId="0" fontId="49" fillId="36" borderId="35" xfId="0" applyFont="1" applyFill="1" applyBorder="1" applyAlignment="1">
      <alignment vertical="center" wrapText="1"/>
    </xf>
    <xf numFmtId="44" fontId="0" fillId="0" borderId="3" xfId="0" applyNumberFormat="1" applyBorder="1" applyAlignment="1"/>
    <xf numFmtId="0" fontId="0" fillId="0" borderId="3" xfId="0" applyBorder="1" applyAlignment="1"/>
    <xf numFmtId="0" fontId="49" fillId="36" borderId="3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/>
    </xf>
    <xf numFmtId="5" fontId="9" fillId="0" borderId="0" xfId="2" applyNumberFormat="1" applyFont="1" applyFill="1" applyBorder="1" applyAlignment="1">
      <alignment horizontal="right"/>
    </xf>
    <xf numFmtId="0" fontId="0" fillId="0" borderId="0" xfId="0"/>
    <xf numFmtId="164" fontId="7" fillId="0" borderId="0" xfId="1" applyNumberFormat="1" applyFont="1"/>
    <xf numFmtId="165" fontId="7" fillId="0" borderId="0" xfId="2" applyNumberFormat="1" applyFont="1"/>
    <xf numFmtId="0" fontId="46" fillId="35" borderId="36" xfId="0" applyFont="1" applyFill="1" applyBorder="1" applyAlignment="1">
      <alignment horizontal="justify" vertical="center" wrapText="1"/>
    </xf>
    <xf numFmtId="0" fontId="50" fillId="0" borderId="39" xfId="0" applyFont="1" applyBorder="1" applyAlignment="1">
      <alignment horizontal="justify" vertical="center" wrapText="1"/>
    </xf>
    <xf numFmtId="0" fontId="51" fillId="0" borderId="11" xfId="0" applyFont="1" applyBorder="1" applyAlignment="1">
      <alignment horizontal="justify" vertical="center" wrapText="1"/>
    </xf>
    <xf numFmtId="0" fontId="51" fillId="0" borderId="40" xfId="0" applyFont="1" applyBorder="1" applyAlignment="1">
      <alignment horizontal="justify" vertical="center" wrapText="1"/>
    </xf>
    <xf numFmtId="0" fontId="51" fillId="0" borderId="39" xfId="0" applyFont="1" applyBorder="1" applyAlignment="1">
      <alignment horizontal="left" vertical="center" wrapText="1"/>
    </xf>
    <xf numFmtId="3" fontId="51" fillId="0" borderId="11" xfId="0" applyNumberFormat="1" applyFont="1" applyBorder="1" applyAlignment="1">
      <alignment horizontal="right" vertical="center" wrapText="1"/>
    </xf>
    <xf numFmtId="3" fontId="51" fillId="0" borderId="40" xfId="0" applyNumberFormat="1" applyFont="1" applyBorder="1" applyAlignment="1">
      <alignment horizontal="right" vertical="center" wrapText="1"/>
    </xf>
    <xf numFmtId="0" fontId="50" fillId="0" borderId="39" xfId="0" applyFont="1" applyBorder="1" applyAlignment="1">
      <alignment horizontal="right" vertical="center" wrapText="1" indent="2"/>
    </xf>
    <xf numFmtId="0" fontId="46" fillId="6" borderId="3" xfId="0" applyFont="1" applyFill="1" applyBorder="1" applyAlignment="1">
      <alignment horizontal="center" vertical="center" wrapText="1"/>
    </xf>
    <xf numFmtId="164" fontId="51" fillId="0" borderId="3" xfId="1" applyNumberFormat="1" applyFont="1" applyBorder="1" applyAlignment="1">
      <alignment horizontal="right" vertical="center" wrapText="1"/>
    </xf>
    <xf numFmtId="168" fontId="51" fillId="0" borderId="3" xfId="1" applyNumberFormat="1" applyFont="1" applyBorder="1" applyAlignment="1">
      <alignment horizontal="right" vertical="center" wrapText="1"/>
    </xf>
    <xf numFmtId="5" fontId="51" fillId="0" borderId="3" xfId="2" applyNumberFormat="1" applyFont="1" applyBorder="1" applyAlignment="1">
      <alignment horizontal="right" vertical="center" wrapText="1"/>
    </xf>
    <xf numFmtId="3" fontId="50" fillId="0" borderId="3" xfId="0" applyNumberFormat="1" applyFont="1" applyBorder="1" applyAlignment="1">
      <alignment horizontal="right" vertical="center" wrapText="1"/>
    </xf>
    <xf numFmtId="5" fontId="50" fillId="0" borderId="3" xfId="2" applyNumberFormat="1" applyFont="1" applyBorder="1" applyAlignment="1">
      <alignment horizontal="right" vertical="center" wrapText="1"/>
    </xf>
    <xf numFmtId="0" fontId="51" fillId="0" borderId="11" xfId="0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164" fontId="51" fillId="0" borderId="3" xfId="1" applyNumberFormat="1" applyFont="1" applyBorder="1" applyAlignment="1">
      <alignment horizontal="left" vertical="center" wrapText="1"/>
    </xf>
    <xf numFmtId="168" fontId="51" fillId="0" borderId="3" xfId="2" applyNumberFormat="1" applyFont="1" applyBorder="1" applyAlignment="1">
      <alignment horizontal="right" vertical="center" wrapText="1"/>
    </xf>
    <xf numFmtId="3" fontId="50" fillId="0" borderId="11" xfId="0" applyNumberFormat="1" applyFont="1" applyBorder="1" applyAlignment="1">
      <alignment vertical="center" wrapText="1"/>
    </xf>
    <xf numFmtId="0" fontId="50" fillId="0" borderId="3" xfId="0" applyFont="1" applyBorder="1" applyAlignment="1">
      <alignment horizontal="left" vertical="center" wrapText="1"/>
    </xf>
    <xf numFmtId="164" fontId="50" fillId="0" borderId="3" xfId="1" applyNumberFormat="1" applyFont="1" applyBorder="1" applyAlignment="1">
      <alignment horizontal="left" vertical="center" wrapText="1"/>
    </xf>
    <xf numFmtId="164" fontId="50" fillId="0" borderId="3" xfId="1" applyNumberFormat="1" applyFont="1" applyBorder="1" applyAlignment="1">
      <alignment horizontal="right" vertical="center" wrapText="1"/>
    </xf>
    <xf numFmtId="168" fontId="50" fillId="0" borderId="3" xfId="2" applyNumberFormat="1" applyFont="1" applyBorder="1" applyAlignment="1">
      <alignment horizontal="right" vertical="center" wrapText="1"/>
    </xf>
    <xf numFmtId="169" fontId="0" fillId="0" borderId="0" xfId="0" applyNumberFormat="1"/>
    <xf numFmtId="0" fontId="52" fillId="35" borderId="26" xfId="0" applyFont="1" applyFill="1" applyBorder="1" applyAlignment="1">
      <alignment horizontal="right" vertical="center" wrapText="1"/>
    </xf>
    <xf numFmtId="0" fontId="52" fillId="35" borderId="30" xfId="0" applyFont="1" applyFill="1" applyBorder="1" applyAlignment="1">
      <alignment horizontal="right" vertical="center" wrapText="1"/>
    </xf>
    <xf numFmtId="0" fontId="32" fillId="0" borderId="31" xfId="0" applyFont="1" applyBorder="1" applyAlignment="1">
      <alignment horizontal="right" vertical="center" wrapText="1"/>
    </xf>
    <xf numFmtId="0" fontId="53" fillId="0" borderId="31" xfId="0" applyFont="1" applyBorder="1" applyAlignment="1">
      <alignment horizontal="right" vertical="center" wrapText="1"/>
    </xf>
    <xf numFmtId="7" fontId="51" fillId="0" borderId="11" xfId="0" applyNumberFormat="1" applyFont="1" applyBorder="1" applyAlignment="1">
      <alignment horizontal="right" vertical="center" wrapText="1"/>
    </xf>
    <xf numFmtId="7" fontId="54" fillId="0" borderId="11" xfId="0" applyNumberFormat="1" applyFont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/>
    </xf>
    <xf numFmtId="0" fontId="0" fillId="0" borderId="3" xfId="0" applyFill="1" applyBorder="1" applyAlignment="1"/>
    <xf numFmtId="43" fontId="0" fillId="0" borderId="3" xfId="1" applyFont="1" applyFill="1" applyBorder="1"/>
    <xf numFmtId="0" fontId="42" fillId="0" borderId="3" xfId="0" applyFont="1" applyBorder="1" applyAlignment="1">
      <alignment vertical="center" wrapText="1"/>
    </xf>
    <xf numFmtId="0" fontId="42" fillId="0" borderId="3" xfId="0" applyFont="1" applyBorder="1" applyAlignment="1">
      <alignment horizontal="left" vertical="center" wrapText="1"/>
    </xf>
    <xf numFmtId="0" fontId="42" fillId="0" borderId="4" xfId="0" applyFont="1" applyBorder="1" applyAlignment="1">
      <alignment horizontal="left" vertical="center" wrapText="1"/>
    </xf>
    <xf numFmtId="0" fontId="46" fillId="35" borderId="3" xfId="0" applyFont="1" applyFill="1" applyBorder="1" applyAlignment="1">
      <alignment horizontal="center" vertical="center" wrapText="1"/>
    </xf>
    <xf numFmtId="4" fontId="43" fillId="0" borderId="0" xfId="0" applyNumberFormat="1" applyFont="1" applyFill="1" applyBorder="1" applyAlignment="1">
      <alignment vertical="center" wrapText="1"/>
    </xf>
    <xf numFmtId="169" fontId="43" fillId="0" borderId="0" xfId="0" applyNumberFormat="1" applyFont="1" applyFill="1" applyBorder="1" applyAlignment="1">
      <alignment vertical="center" wrapText="1"/>
    </xf>
    <xf numFmtId="168" fontId="42" fillId="0" borderId="4" xfId="0" applyNumberFormat="1" applyFont="1" applyBorder="1" applyAlignment="1">
      <alignment horizontal="right" vertical="center" wrapText="1"/>
    </xf>
    <xf numFmtId="0" fontId="49" fillId="36" borderId="3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right" vertical="center" wrapText="1"/>
    </xf>
    <xf numFmtId="168" fontId="45" fillId="0" borderId="3" xfId="0" applyNumberFormat="1" applyFont="1" applyFill="1" applyBorder="1" applyAlignment="1">
      <alignment horizontal="right" vertical="center" wrapText="1"/>
    </xf>
    <xf numFmtId="0" fontId="49" fillId="36" borderId="3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/>
    </xf>
    <xf numFmtId="165" fontId="0" fillId="2" borderId="42" xfId="2" applyNumberFormat="1" applyFont="1" applyFill="1" applyBorder="1" applyAlignment="1">
      <alignment horizontal="center"/>
    </xf>
    <xf numFmtId="164" fontId="9" fillId="2" borderId="42" xfId="1" applyNumberFormat="1" applyFont="1" applyFill="1" applyBorder="1" applyAlignment="1">
      <alignment horizontal="center"/>
    </xf>
    <xf numFmtId="164" fontId="0" fillId="2" borderId="42" xfId="1" applyNumberFormat="1" applyFont="1" applyFill="1" applyBorder="1" applyAlignment="1">
      <alignment horizontal="center"/>
    </xf>
    <xf numFmtId="165" fontId="9" fillId="2" borderId="42" xfId="2" applyNumberFormat="1" applyFont="1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7" fillId="2" borderId="0" xfId="0" applyFont="1" applyFill="1" applyAlignment="1">
      <alignment horizontal="center" wrapText="1"/>
    </xf>
    <xf numFmtId="165" fontId="7" fillId="2" borderId="0" xfId="2" applyNumberFormat="1" applyFont="1" applyFill="1" applyAlignment="1">
      <alignment horizontal="center" wrapText="1"/>
    </xf>
    <xf numFmtId="165" fontId="0" fillId="2" borderId="0" xfId="2" applyNumberFormat="1" applyFont="1" applyFill="1" applyAlignment="1">
      <alignment horizontal="center" wrapText="1"/>
    </xf>
    <xf numFmtId="0" fontId="46" fillId="35" borderId="38" xfId="0" applyFont="1" applyFill="1" applyBorder="1" applyAlignment="1">
      <alignment horizontal="center" vertical="center" wrapText="1"/>
    </xf>
    <xf numFmtId="0" fontId="46" fillId="35" borderId="37" xfId="0" applyFont="1" applyFill="1" applyBorder="1" applyAlignment="1">
      <alignment horizontal="center" vertical="center" wrapText="1"/>
    </xf>
    <xf numFmtId="164" fontId="0" fillId="0" borderId="3" xfId="1" applyNumberFormat="1" applyFont="1" applyBorder="1"/>
    <xf numFmtId="164" fontId="0" fillId="0" borderId="3" xfId="1" applyNumberFormat="1" applyFont="1" applyFill="1" applyBorder="1"/>
    <xf numFmtId="164" fontId="9" fillId="0" borderId="3" xfId="1" applyNumberFormat="1" applyFont="1" applyFill="1" applyBorder="1"/>
    <xf numFmtId="0" fontId="0" fillId="0" borderId="0" xfId="0" applyBorder="1" applyAlignment="1">
      <alignment horizontal="center"/>
    </xf>
    <xf numFmtId="169" fontId="42" fillId="0" borderId="3" xfId="0" applyNumberFormat="1" applyFont="1" applyBorder="1" applyAlignment="1">
      <alignment horizontal="right" vertical="center" wrapText="1"/>
    </xf>
    <xf numFmtId="169" fontId="45" fillId="0" borderId="3" xfId="0" applyNumberFormat="1" applyFont="1" applyFill="1" applyBorder="1" applyAlignment="1">
      <alignment horizontal="right" vertical="center" wrapText="1"/>
    </xf>
    <xf numFmtId="168" fontId="42" fillId="0" borderId="0" xfId="0" applyNumberFormat="1" applyFont="1" applyFill="1" applyBorder="1" applyAlignment="1">
      <alignment horizontal="right" vertical="center" wrapText="1"/>
    </xf>
    <xf numFmtId="168" fontId="0" fillId="0" borderId="0" xfId="0" applyNumberFormat="1"/>
    <xf numFmtId="168" fontId="42" fillId="0" borderId="3" xfId="0" applyNumberFormat="1" applyFont="1" applyFill="1" applyBorder="1" applyAlignment="1">
      <alignment horizontal="right" vertical="center" wrapText="1"/>
    </xf>
    <xf numFmtId="0" fontId="49" fillId="36" borderId="41" xfId="0" applyFont="1" applyFill="1" applyBorder="1" applyAlignment="1">
      <alignment vertical="center" wrapText="1"/>
    </xf>
    <xf numFmtId="0" fontId="49" fillId="36" borderId="33" xfId="0" applyFont="1" applyFill="1" applyBorder="1" applyAlignment="1">
      <alignment horizontal="center" vertical="center" wrapText="1"/>
    </xf>
    <xf numFmtId="0" fontId="49" fillId="36" borderId="41" xfId="0" applyFont="1" applyFill="1" applyBorder="1" applyAlignment="1">
      <alignment horizontal="center" vertical="center" wrapText="1"/>
    </xf>
    <xf numFmtId="0" fontId="49" fillId="36" borderId="29" xfId="0" applyFont="1" applyFill="1" applyBorder="1" applyAlignment="1">
      <alignment horizontal="center" vertical="center" wrapText="1"/>
    </xf>
    <xf numFmtId="168" fontId="48" fillId="37" borderId="34" xfId="169" applyNumberFormat="1"/>
    <xf numFmtId="3" fontId="50" fillId="0" borderId="40" xfId="0" applyNumberFormat="1" applyFont="1" applyBorder="1" applyAlignment="1">
      <alignment vertical="center" wrapText="1"/>
    </xf>
    <xf numFmtId="0" fontId="7" fillId="0" borderId="3" xfId="0" applyFont="1" applyBorder="1" applyAlignment="1">
      <alignment wrapText="1"/>
    </xf>
    <xf numFmtId="3" fontId="0" fillId="0" borderId="3" xfId="0" applyNumberFormat="1" applyBorder="1"/>
    <xf numFmtId="169" fontId="0" fillId="0" borderId="3" xfId="0" applyNumberFormat="1" applyBorder="1"/>
    <xf numFmtId="168" fontId="0" fillId="0" borderId="3" xfId="0" applyNumberFormat="1" applyBorder="1"/>
    <xf numFmtId="0" fontId="0" fillId="34" borderId="0" xfId="0" applyFill="1"/>
    <xf numFmtId="44" fontId="0" fillId="0" borderId="3" xfId="0" applyNumberFormat="1" applyBorder="1" applyAlignment="1">
      <alignment horizontal="center"/>
    </xf>
    <xf numFmtId="3" fontId="48" fillId="37" borderId="34" xfId="169" applyNumberFormat="1"/>
    <xf numFmtId="3" fontId="0" fillId="0" borderId="3" xfId="0" applyNumberFormat="1" applyFill="1" applyBorder="1"/>
    <xf numFmtId="9" fontId="0" fillId="0" borderId="3" xfId="3" applyFont="1" applyBorder="1"/>
    <xf numFmtId="0" fontId="2" fillId="0" borderId="0" xfId="36" applyFill="1"/>
    <xf numFmtId="0" fontId="51" fillId="0" borderId="0" xfId="0" applyFont="1" applyBorder="1" applyAlignment="1">
      <alignment horizontal="left" vertical="center" wrapText="1"/>
    </xf>
    <xf numFmtId="165" fontId="0" fillId="0" borderId="0" xfId="0" applyNumberFormat="1" applyBorder="1"/>
    <xf numFmtId="44" fontId="15" fillId="0" borderId="25" xfId="134" applyNumberFormat="1" applyFill="1" applyBorder="1"/>
    <xf numFmtId="43" fontId="15" fillId="0" borderId="25" xfId="134" applyNumberFormat="1" applyFill="1" applyBorder="1"/>
    <xf numFmtId="0" fontId="55" fillId="0" borderId="0" xfId="170" applyFill="1" applyBorder="1"/>
    <xf numFmtId="43" fontId="15" fillId="0" borderId="25" xfId="147" applyNumberFormat="1" applyFill="1"/>
    <xf numFmtId="0" fontId="7" fillId="0" borderId="3" xfId="0" applyFont="1" applyBorder="1"/>
    <xf numFmtId="164" fontId="7" fillId="0" borderId="3" xfId="1" applyNumberFormat="1" applyFont="1" applyBorder="1"/>
    <xf numFmtId="44" fontId="15" fillId="0" borderId="0" xfId="134" applyNumberFormat="1" applyFill="1" applyBorder="1"/>
    <xf numFmtId="0" fontId="46" fillId="35" borderId="3" xfId="0" applyFont="1" applyFill="1" applyBorder="1" applyAlignment="1">
      <alignment horizontal="center" vertical="center" wrapText="1"/>
    </xf>
    <xf numFmtId="0" fontId="46" fillId="35" borderId="4" xfId="0" applyFont="1" applyFill="1" applyBorder="1" applyAlignment="1">
      <alignment horizontal="center" vertical="center" wrapText="1"/>
    </xf>
    <xf numFmtId="0" fontId="46" fillId="35" borderId="27" xfId="0" applyFont="1" applyFill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 wrapText="1"/>
    </xf>
    <xf numFmtId="164" fontId="51" fillId="0" borderId="3" xfId="1" applyNumberFormat="1" applyFont="1" applyBorder="1" applyAlignment="1">
      <alignment horizontal="center" vertical="center" wrapText="1"/>
    </xf>
    <xf numFmtId="168" fontId="51" fillId="0" borderId="3" xfId="2" applyNumberFormat="1" applyFont="1" applyBorder="1" applyAlignment="1">
      <alignment horizontal="center" vertical="center" wrapText="1"/>
    </xf>
    <xf numFmtId="168" fontId="51" fillId="0" borderId="3" xfId="0" applyNumberFormat="1" applyFont="1" applyBorder="1" applyAlignment="1">
      <alignment horizontal="center" vertical="center" wrapText="1"/>
    </xf>
    <xf numFmtId="0" fontId="51" fillId="0" borderId="3" xfId="0" applyFont="1" applyFill="1" applyBorder="1" applyAlignment="1">
      <alignment horizontal="center" vertical="center" wrapText="1"/>
    </xf>
    <xf numFmtId="164" fontId="51" fillId="0" borderId="3" xfId="1" applyNumberFormat="1" applyFont="1" applyFill="1" applyBorder="1" applyAlignment="1">
      <alignment horizontal="center" vertical="center" wrapText="1"/>
    </xf>
    <xf numFmtId="168" fontId="51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9" fillId="2" borderId="0" xfId="0" applyFont="1" applyFill="1" applyAlignment="1">
      <alignment horizontal="center"/>
    </xf>
  </cellXfs>
  <cellStyles count="171">
    <cellStyle name="20% - Accent1 2" xfId="75" xr:uid="{00000000-0005-0000-0000-000000000000}"/>
    <cellStyle name="20% - Accent2 2" xfId="76" xr:uid="{00000000-0005-0000-0000-000001000000}"/>
    <cellStyle name="20% - Accent3 2" xfId="77" xr:uid="{00000000-0005-0000-0000-000002000000}"/>
    <cellStyle name="20% - Accent4 2" xfId="78" xr:uid="{00000000-0005-0000-0000-000003000000}"/>
    <cellStyle name="20% - Accent5 2" xfId="79" xr:uid="{00000000-0005-0000-0000-000004000000}"/>
    <cellStyle name="20% - Accent6 2" xfId="80" xr:uid="{00000000-0005-0000-0000-000005000000}"/>
    <cellStyle name="40% - Accent1 2" xfId="81" xr:uid="{00000000-0005-0000-0000-000006000000}"/>
    <cellStyle name="40% - Accent2 2" xfId="82" xr:uid="{00000000-0005-0000-0000-000007000000}"/>
    <cellStyle name="40% - Accent3 2" xfId="83" xr:uid="{00000000-0005-0000-0000-000008000000}"/>
    <cellStyle name="40% - Accent4 2" xfId="84" xr:uid="{00000000-0005-0000-0000-000009000000}"/>
    <cellStyle name="40% - Accent5 2" xfId="85" xr:uid="{00000000-0005-0000-0000-00000A000000}"/>
    <cellStyle name="40% - Accent6 2" xfId="86" xr:uid="{00000000-0005-0000-0000-00000B000000}"/>
    <cellStyle name="60% - Accent1 2" xfId="87" xr:uid="{00000000-0005-0000-0000-00000C000000}"/>
    <cellStyle name="60% - Accent2 2" xfId="88" xr:uid="{00000000-0005-0000-0000-00000D000000}"/>
    <cellStyle name="60% - Accent3 2" xfId="89" xr:uid="{00000000-0005-0000-0000-00000E000000}"/>
    <cellStyle name="60% - Accent4 2" xfId="90" xr:uid="{00000000-0005-0000-0000-00000F000000}"/>
    <cellStyle name="60% - Accent5 2" xfId="91" xr:uid="{00000000-0005-0000-0000-000010000000}"/>
    <cellStyle name="60% - Accent6 2" xfId="92" xr:uid="{00000000-0005-0000-0000-000011000000}"/>
    <cellStyle name="Accent1 2" xfId="93" xr:uid="{00000000-0005-0000-0000-000012000000}"/>
    <cellStyle name="Accent2 2" xfId="94" xr:uid="{00000000-0005-0000-0000-000013000000}"/>
    <cellStyle name="Accent3" xfId="168" builtinId="37"/>
    <cellStyle name="Accent3 2" xfId="95" xr:uid="{00000000-0005-0000-0000-000015000000}"/>
    <cellStyle name="Accent4 2" xfId="96" xr:uid="{00000000-0005-0000-0000-000016000000}"/>
    <cellStyle name="Accent5 2" xfId="97" xr:uid="{00000000-0005-0000-0000-000017000000}"/>
    <cellStyle name="Accent6 2" xfId="98" xr:uid="{00000000-0005-0000-0000-000018000000}"/>
    <cellStyle name="Bad" xfId="165" builtinId="27"/>
    <cellStyle name="Bad 2" xfId="99" xr:uid="{00000000-0005-0000-0000-00001A000000}"/>
    <cellStyle name="Calculation" xfId="169" builtinId="22"/>
    <cellStyle name="Calculation 2" xfId="100" xr:uid="{00000000-0005-0000-0000-00001C000000}"/>
    <cellStyle name="Calculation 2 2" xfId="145" xr:uid="{00000000-0005-0000-0000-00001D000000}"/>
    <cellStyle name="Check Cell 2" xfId="101" xr:uid="{00000000-0005-0000-0000-00001E000000}"/>
    <cellStyle name="Comma" xfId="1" builtinId="3"/>
    <cellStyle name="Comma 2" xfId="10" xr:uid="{00000000-0005-0000-0000-000020000000}"/>
    <cellStyle name="Comma 2 2" xfId="13" xr:uid="{00000000-0005-0000-0000-000021000000}"/>
    <cellStyle name="Comma 2 2 2" xfId="102" xr:uid="{00000000-0005-0000-0000-000022000000}"/>
    <cellStyle name="Comma 2 3" xfId="20" xr:uid="{00000000-0005-0000-0000-000023000000}"/>
    <cellStyle name="Comma 2 3 2" xfId="29" xr:uid="{00000000-0005-0000-0000-000024000000}"/>
    <cellStyle name="Comma 2 3 3" xfId="103" xr:uid="{00000000-0005-0000-0000-000025000000}"/>
    <cellStyle name="Comma 2 4" xfId="152" xr:uid="{00000000-0005-0000-0000-000026000000}"/>
    <cellStyle name="Comma 3" xfId="9" xr:uid="{00000000-0005-0000-0000-000027000000}"/>
    <cellStyle name="Comma 3 2" xfId="21" xr:uid="{00000000-0005-0000-0000-000028000000}"/>
    <cellStyle name="Comma 3 2 2" xfId="104" xr:uid="{00000000-0005-0000-0000-000029000000}"/>
    <cellStyle name="Comma 3 2 3" xfId="48" xr:uid="{00000000-0005-0000-0000-00002A000000}"/>
    <cellStyle name="Comma 3 3" xfId="105" xr:uid="{00000000-0005-0000-0000-00002B000000}"/>
    <cellStyle name="Comma 4" xfId="19" xr:uid="{00000000-0005-0000-0000-00002C000000}"/>
    <cellStyle name="Comma 4 2" xfId="33" xr:uid="{00000000-0005-0000-0000-00002D000000}"/>
    <cellStyle name="Comma 62" xfId="167" xr:uid="{00000000-0005-0000-0000-00002E000000}"/>
    <cellStyle name="Currency" xfId="2" builtinId="4"/>
    <cellStyle name="Currency 2" xfId="4" xr:uid="{00000000-0005-0000-0000-000030000000}"/>
    <cellStyle name="Currency 2 2" xfId="14" xr:uid="{00000000-0005-0000-0000-000031000000}"/>
    <cellStyle name="Currency 2 2 2" xfId="5" xr:uid="{00000000-0005-0000-0000-000032000000}"/>
    <cellStyle name="Currency 2 3" xfId="23" xr:uid="{00000000-0005-0000-0000-000033000000}"/>
    <cellStyle name="Currency 2 3 2" xfId="106" xr:uid="{00000000-0005-0000-0000-000034000000}"/>
    <cellStyle name="Currency 2 4" xfId="153" xr:uid="{00000000-0005-0000-0000-000035000000}"/>
    <cellStyle name="Currency 3" xfId="6" xr:uid="{00000000-0005-0000-0000-000036000000}"/>
    <cellStyle name="Currency 3 2" xfId="24" xr:uid="{00000000-0005-0000-0000-000037000000}"/>
    <cellStyle name="Currency 3 2 2" xfId="107" xr:uid="{00000000-0005-0000-0000-000038000000}"/>
    <cellStyle name="Currency 3 2 3" xfId="49" xr:uid="{00000000-0005-0000-0000-000039000000}"/>
    <cellStyle name="Currency 3 3" xfId="108" xr:uid="{00000000-0005-0000-0000-00003A000000}"/>
    <cellStyle name="Currency 4" xfId="22" xr:uid="{00000000-0005-0000-0000-00003B000000}"/>
    <cellStyle name="Currency 4 2" xfId="34" xr:uid="{00000000-0005-0000-0000-00003C000000}"/>
    <cellStyle name="Currency 5" xfId="7" xr:uid="{00000000-0005-0000-0000-00003D000000}"/>
    <cellStyle name="Data Field" xfId="35" xr:uid="{00000000-0005-0000-0000-00003E000000}"/>
    <cellStyle name="Data Field 2" xfId="50" xr:uid="{00000000-0005-0000-0000-00003F000000}"/>
    <cellStyle name="Data Field 2 2" xfId="109" xr:uid="{00000000-0005-0000-0000-000040000000}"/>
    <cellStyle name="Data Field 3" xfId="110" xr:uid="{00000000-0005-0000-0000-000041000000}"/>
    <cellStyle name="Data Field 4" xfId="154" xr:uid="{00000000-0005-0000-0000-000042000000}"/>
    <cellStyle name="Data Name" xfId="36" xr:uid="{00000000-0005-0000-0000-000043000000}"/>
    <cellStyle name="Data Name 2" xfId="155" xr:uid="{00000000-0005-0000-0000-000044000000}"/>
    <cellStyle name="Date/Time" xfId="37" xr:uid="{00000000-0005-0000-0000-000045000000}"/>
    <cellStyle name="Explanatory Text 2" xfId="111" xr:uid="{00000000-0005-0000-0000-000046000000}"/>
    <cellStyle name="Good 2" xfId="112" xr:uid="{00000000-0005-0000-0000-000047000000}"/>
    <cellStyle name="Heading" xfId="38" xr:uid="{00000000-0005-0000-0000-000048000000}"/>
    <cellStyle name="Heading 1 2" xfId="113" xr:uid="{00000000-0005-0000-0000-000049000000}"/>
    <cellStyle name="Heading 2 2" xfId="39" xr:uid="{00000000-0005-0000-0000-00004A000000}"/>
    <cellStyle name="Heading 2 3" xfId="146" xr:uid="{00000000-0005-0000-0000-00004B000000}"/>
    <cellStyle name="Heading 3 2" xfId="114" xr:uid="{00000000-0005-0000-0000-00004C000000}"/>
    <cellStyle name="Heading 4 2" xfId="115" xr:uid="{00000000-0005-0000-0000-00004D000000}"/>
    <cellStyle name="Hyperlink" xfId="166" builtinId="8"/>
    <cellStyle name="Hyperlink 2" xfId="40" xr:uid="{00000000-0005-0000-0000-00004F000000}"/>
    <cellStyle name="Hyperlink 3" xfId="74" xr:uid="{00000000-0005-0000-0000-000050000000}"/>
    <cellStyle name="Hyperlink 4" xfId="139" xr:uid="{00000000-0005-0000-0000-000051000000}"/>
    <cellStyle name="Input 2" xfId="116" xr:uid="{00000000-0005-0000-0000-000052000000}"/>
    <cellStyle name="Input 2 2" xfId="150" xr:uid="{00000000-0005-0000-0000-000053000000}"/>
    <cellStyle name="Linked Cell 2" xfId="117" xr:uid="{00000000-0005-0000-0000-000054000000}"/>
    <cellStyle name="Neutral" xfId="170" builtinId="28"/>
    <cellStyle name="Neutral 2" xfId="118" xr:uid="{00000000-0005-0000-0000-000056000000}"/>
    <cellStyle name="Normal" xfId="0" builtinId="0"/>
    <cellStyle name="Normal 10" xfId="51" xr:uid="{00000000-0005-0000-0000-000058000000}"/>
    <cellStyle name="Normal 11" xfId="52" xr:uid="{00000000-0005-0000-0000-000059000000}"/>
    <cellStyle name="Normal 12" xfId="53" xr:uid="{00000000-0005-0000-0000-00005A000000}"/>
    <cellStyle name="Normal 13" xfId="8" xr:uid="{00000000-0005-0000-0000-00005B000000}"/>
    <cellStyle name="Normal 13 2" xfId="32" xr:uid="{00000000-0005-0000-0000-00005C000000}"/>
    <cellStyle name="Normal 13 3" xfId="31" xr:uid="{00000000-0005-0000-0000-00005D000000}"/>
    <cellStyle name="Normal 14" xfId="136" xr:uid="{00000000-0005-0000-0000-00005E000000}"/>
    <cellStyle name="Normal 14 2" xfId="142" xr:uid="{00000000-0005-0000-0000-00005F000000}"/>
    <cellStyle name="Normal 15" xfId="137" xr:uid="{00000000-0005-0000-0000-000060000000}"/>
    <cellStyle name="Normal 15 2" xfId="143" xr:uid="{00000000-0005-0000-0000-000061000000}"/>
    <cellStyle name="Normal 16" xfId="138" xr:uid="{00000000-0005-0000-0000-000062000000}"/>
    <cellStyle name="Normal 16 2" xfId="157" xr:uid="{00000000-0005-0000-0000-000063000000}"/>
    <cellStyle name="Normal 16 3" xfId="156" xr:uid="{00000000-0005-0000-0000-000064000000}"/>
    <cellStyle name="Normal 2" xfId="17" xr:uid="{00000000-0005-0000-0000-000065000000}"/>
    <cellStyle name="Normal 2 2" xfId="25" xr:uid="{00000000-0005-0000-0000-000066000000}"/>
    <cellStyle name="Normal 2 2 2" xfId="54" xr:uid="{00000000-0005-0000-0000-000067000000}"/>
    <cellStyle name="Normal 2 2 2 2" xfId="119" xr:uid="{00000000-0005-0000-0000-000068000000}"/>
    <cellStyle name="Normal 2 2 3" xfId="120" xr:uid="{00000000-0005-0000-0000-000069000000}"/>
    <cellStyle name="Normal 2 2 4" xfId="42" xr:uid="{00000000-0005-0000-0000-00006A000000}"/>
    <cellStyle name="Normal 2 3" xfId="55" xr:uid="{00000000-0005-0000-0000-00006B000000}"/>
    <cellStyle name="Normal 2 3 2" xfId="56" xr:uid="{00000000-0005-0000-0000-00006C000000}"/>
    <cellStyle name="Normal 2 4" xfId="57" xr:uid="{00000000-0005-0000-0000-00006D000000}"/>
    <cellStyle name="Normal 2 4 2" xfId="121" xr:uid="{00000000-0005-0000-0000-00006E000000}"/>
    <cellStyle name="Normal 2 5" xfId="58" xr:uid="{00000000-0005-0000-0000-00006F000000}"/>
    <cellStyle name="Normal 2 6" xfId="122" xr:uid="{00000000-0005-0000-0000-000070000000}"/>
    <cellStyle name="Normal 2 6 2" xfId="144" xr:uid="{00000000-0005-0000-0000-000071000000}"/>
    <cellStyle name="Normal 2 7" xfId="41" xr:uid="{00000000-0005-0000-0000-000072000000}"/>
    <cellStyle name="Normal 2 8" xfId="158" xr:uid="{00000000-0005-0000-0000-000073000000}"/>
    <cellStyle name="Normal 3" xfId="16" xr:uid="{00000000-0005-0000-0000-000074000000}"/>
    <cellStyle name="Normal 3 2" xfId="59" xr:uid="{00000000-0005-0000-0000-000075000000}"/>
    <cellStyle name="Normal 3 2 2" xfId="123" xr:uid="{00000000-0005-0000-0000-000076000000}"/>
    <cellStyle name="Normal 3 3" xfId="124" xr:uid="{00000000-0005-0000-0000-000077000000}"/>
    <cellStyle name="Normal 3 4" xfId="159" xr:uid="{00000000-0005-0000-0000-000078000000}"/>
    <cellStyle name="Normal 3 5" xfId="160" xr:uid="{00000000-0005-0000-0000-000079000000}"/>
    <cellStyle name="Normal 4" xfId="18" xr:uid="{00000000-0005-0000-0000-00007A000000}"/>
    <cellStyle name="Normal 4 2" xfId="60" xr:uid="{00000000-0005-0000-0000-00007B000000}"/>
    <cellStyle name="Normal 4 3" xfId="125" xr:uid="{00000000-0005-0000-0000-00007C000000}"/>
    <cellStyle name="Normal 4 3 2" xfId="141" xr:uid="{00000000-0005-0000-0000-00007D000000}"/>
    <cellStyle name="Normal 4 4" xfId="140" xr:uid="{00000000-0005-0000-0000-00007E000000}"/>
    <cellStyle name="Normal 4 5" xfId="47" xr:uid="{00000000-0005-0000-0000-00007F000000}"/>
    <cellStyle name="Normal 5" xfId="61" xr:uid="{00000000-0005-0000-0000-000080000000}"/>
    <cellStyle name="Normal 5 2" xfId="62" xr:uid="{00000000-0005-0000-0000-000081000000}"/>
    <cellStyle name="Normal 6" xfId="63" xr:uid="{00000000-0005-0000-0000-000082000000}"/>
    <cellStyle name="Normal 7" xfId="64" xr:uid="{00000000-0005-0000-0000-000083000000}"/>
    <cellStyle name="Normal 7 2" xfId="65" xr:uid="{00000000-0005-0000-0000-000084000000}"/>
    <cellStyle name="Normal 8" xfId="66" xr:uid="{00000000-0005-0000-0000-000085000000}"/>
    <cellStyle name="Normal 8 2" xfId="67" xr:uid="{00000000-0005-0000-0000-000086000000}"/>
    <cellStyle name="Normal 9" xfId="68" xr:uid="{00000000-0005-0000-0000-000087000000}"/>
    <cellStyle name="Normal 9 2" xfId="126" xr:uid="{00000000-0005-0000-0000-000088000000}"/>
    <cellStyle name="Note 2" xfId="127" xr:uid="{00000000-0005-0000-0000-000089000000}"/>
    <cellStyle name="Note 2 2" xfId="149" xr:uid="{00000000-0005-0000-0000-00008A000000}"/>
    <cellStyle name="Note 3" xfId="161" xr:uid="{00000000-0005-0000-0000-00008B000000}"/>
    <cellStyle name="Note 3 2" xfId="164" xr:uid="{00000000-0005-0000-0000-00008C000000}"/>
    <cellStyle name="Output 2" xfId="128" xr:uid="{00000000-0005-0000-0000-00008D000000}"/>
    <cellStyle name="Output 2 2" xfId="148" xr:uid="{00000000-0005-0000-0000-00008E000000}"/>
    <cellStyle name="Percent" xfId="3" builtinId="5"/>
    <cellStyle name="Percent 2" xfId="12" xr:uid="{00000000-0005-0000-0000-000090000000}"/>
    <cellStyle name="Percent 2 2" xfId="15" xr:uid="{00000000-0005-0000-0000-000091000000}"/>
    <cellStyle name="Percent 2 2 2" xfId="69" xr:uid="{00000000-0005-0000-0000-000092000000}"/>
    <cellStyle name="Percent 2 2 2 2" xfId="129" xr:uid="{00000000-0005-0000-0000-000093000000}"/>
    <cellStyle name="Percent 2 2 3" xfId="130" xr:uid="{00000000-0005-0000-0000-000094000000}"/>
    <cellStyle name="Percent 2 3" xfId="27" xr:uid="{00000000-0005-0000-0000-000095000000}"/>
    <cellStyle name="Percent 2 3 2" xfId="30" xr:uid="{00000000-0005-0000-0000-000096000000}"/>
    <cellStyle name="Percent 2 3 3" xfId="151" xr:uid="{00000000-0005-0000-0000-000097000000}"/>
    <cellStyle name="Percent 2 4" xfId="44" xr:uid="{00000000-0005-0000-0000-000098000000}"/>
    <cellStyle name="Percent 2 4 2" xfId="162" xr:uid="{00000000-0005-0000-0000-000099000000}"/>
    <cellStyle name="Percent 3" xfId="11" xr:uid="{00000000-0005-0000-0000-00009A000000}"/>
    <cellStyle name="Percent 3 2" xfId="28" xr:uid="{00000000-0005-0000-0000-00009B000000}"/>
    <cellStyle name="Percent 3 2 2" xfId="131" xr:uid="{00000000-0005-0000-0000-00009C000000}"/>
    <cellStyle name="Percent 3 2 3" xfId="70" xr:uid="{00000000-0005-0000-0000-00009D000000}"/>
    <cellStyle name="Percent 3 3" xfId="132" xr:uid="{00000000-0005-0000-0000-00009E000000}"/>
    <cellStyle name="Percent 4" xfId="26" xr:uid="{00000000-0005-0000-0000-00009F000000}"/>
    <cellStyle name="Percent 4 2" xfId="72" xr:uid="{00000000-0005-0000-0000-0000A0000000}"/>
    <cellStyle name="Percent 4 3" xfId="71" xr:uid="{00000000-0005-0000-0000-0000A1000000}"/>
    <cellStyle name="Percent 5" xfId="73" xr:uid="{00000000-0005-0000-0000-0000A2000000}"/>
    <cellStyle name="Percent 6" xfId="43" xr:uid="{00000000-0005-0000-0000-0000A3000000}"/>
    <cellStyle name="Percent 7" xfId="163" xr:uid="{00000000-0005-0000-0000-0000A4000000}"/>
    <cellStyle name="Title 2" xfId="133" xr:uid="{00000000-0005-0000-0000-0000A5000000}"/>
    <cellStyle name="Total 2" xfId="134" xr:uid="{00000000-0005-0000-0000-0000A6000000}"/>
    <cellStyle name="Total 2 2" xfId="147" xr:uid="{00000000-0005-0000-0000-0000A7000000}"/>
    <cellStyle name="Warning Text 2" xfId="135" xr:uid="{00000000-0005-0000-0000-0000A8000000}"/>
    <cellStyle name="표준_ENERGY CONSUMP" xfId="45" xr:uid="{00000000-0005-0000-0000-0000A9000000}"/>
    <cellStyle name="常规_海外市场服务网站资料操作BOM" xfId="46" xr:uid="{00000000-0005-0000-0000-0000AA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'Figures for Chapter 4'!$M$20</c:f>
              <c:strCache>
                <c:ptCount val="1"/>
                <c:pt idx="0">
                  <c:v>4 year NEIs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for Chapter 4'!$L$21:$L$28</c:f>
              <c:strCache>
                <c:ptCount val="8"/>
                <c:pt idx="0">
                  <c:v>Site Specific</c:v>
                </c:pt>
                <c:pt idx="1">
                  <c:v>Commercial Lighting</c:v>
                </c:pt>
                <c:pt idx="2">
                  <c:v>Low Income Programs</c:v>
                </c:pt>
                <c:pt idx="3">
                  <c:v>Multifamily Weatherization</c:v>
                </c:pt>
                <c:pt idx="4">
                  <c:v>Multifamily Direct Install</c:v>
                </c:pt>
                <c:pt idx="5">
                  <c:v>Active Energy Management</c:v>
                </c:pt>
                <c:pt idx="6">
                  <c:v>Residential Prescriptive</c:v>
                </c:pt>
                <c:pt idx="7">
                  <c:v>Commercial Prescriptive </c:v>
                </c:pt>
              </c:strCache>
            </c:strRef>
          </c:cat>
          <c:val>
            <c:numRef>
              <c:f>'Figures for Chapter 4'!$M$21:$M$28</c:f>
              <c:numCache>
                <c:formatCode>"$"#,##0</c:formatCode>
                <c:ptCount val="8"/>
                <c:pt idx="0">
                  <c:v>1899730.664123636</c:v>
                </c:pt>
                <c:pt idx="1">
                  <c:v>1729283.9231353262</c:v>
                </c:pt>
                <c:pt idx="2">
                  <c:v>1597003.1891752179</c:v>
                </c:pt>
                <c:pt idx="3">
                  <c:v>342076.0390590821</c:v>
                </c:pt>
                <c:pt idx="4">
                  <c:v>288657.98947519745</c:v>
                </c:pt>
                <c:pt idx="5">
                  <c:v>161601.84287297662</c:v>
                </c:pt>
                <c:pt idx="6">
                  <c:v>167420.56532790093</c:v>
                </c:pt>
                <c:pt idx="7">
                  <c:v>71722.233870579905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7-495D-8381-E531674B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7761512"/>
        <c:axId val="1237761904"/>
      </c:barChart>
      <c:catAx>
        <c:axId val="1237761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761904"/>
        <c:crosses val="autoZero"/>
        <c:auto val="1"/>
        <c:lblAlgn val="ctr"/>
        <c:lblOffset val="100"/>
        <c:noMultiLvlLbl val="0"/>
      </c:catAx>
      <c:valAx>
        <c:axId val="123776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761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'Figures for Chapter 4'!$W$20</c:f>
              <c:strCache>
                <c:ptCount val="1"/>
                <c:pt idx="0">
                  <c:v>NEIs per mwh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136-422D-904D-C883AE693AA2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36-422D-904D-C883AE693AA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136-422D-904D-C883AE693AA2}"/>
              </c:ext>
            </c:extLst>
          </c:dPt>
          <c:dPt>
            <c:idx val="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136-422D-904D-C883AE693A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for Chapter 4'!$V$21:$V$28</c:f>
              <c:strCache>
                <c:ptCount val="8"/>
                <c:pt idx="0">
                  <c:v>Low Income Programs</c:v>
                </c:pt>
                <c:pt idx="1">
                  <c:v>Multifamily Weatherization</c:v>
                </c:pt>
                <c:pt idx="2">
                  <c:v>Multifamily Direct Install</c:v>
                </c:pt>
                <c:pt idx="3">
                  <c:v>Commercial Lighting</c:v>
                </c:pt>
                <c:pt idx="4">
                  <c:v>Site Specific</c:v>
                </c:pt>
                <c:pt idx="5">
                  <c:v>Active Energy Management</c:v>
                </c:pt>
                <c:pt idx="6">
                  <c:v>Residential Prescriptive</c:v>
                </c:pt>
                <c:pt idx="7">
                  <c:v>Commercial Prescriptive </c:v>
                </c:pt>
              </c:strCache>
            </c:strRef>
          </c:cat>
          <c:val>
            <c:numRef>
              <c:f>'Figures for Chapter 4'!$W$21:$W$28</c:f>
              <c:numCache>
                <c:formatCode>"$"#,##0.00</c:formatCode>
                <c:ptCount val="8"/>
                <c:pt idx="0">
                  <c:v>505.54487766486767</c:v>
                </c:pt>
                <c:pt idx="1">
                  <c:v>206.56765643664377</c:v>
                </c:pt>
                <c:pt idx="2">
                  <c:v>55.044417503582601</c:v>
                </c:pt>
                <c:pt idx="3">
                  <c:v>25.250287948902603</c:v>
                </c:pt>
                <c:pt idx="4">
                  <c:v>25.250287948902599</c:v>
                </c:pt>
                <c:pt idx="5">
                  <c:v>25.250287948902596</c:v>
                </c:pt>
                <c:pt idx="6">
                  <c:v>19.528103391921068</c:v>
                </c:pt>
                <c:pt idx="7">
                  <c:v>10.736581692419975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6-422D-904D-C883AE69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7762688"/>
        <c:axId val="1237763080"/>
      </c:barChart>
      <c:catAx>
        <c:axId val="123776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763080"/>
        <c:crosses val="autoZero"/>
        <c:auto val="1"/>
        <c:lblAlgn val="ctr"/>
        <c:lblOffset val="100"/>
        <c:noMultiLvlLbl val="0"/>
      </c:catAx>
      <c:valAx>
        <c:axId val="1237763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76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Distribution of NEI Value, 2022-2025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2E-4490-960F-09EE14D9CC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2E-4490-960F-09EE14D9CC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2E-4490-960F-09EE14D9CC80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'Figures for Chapter 4'!$V$45:$V$47</c:f>
              <c:strCache>
                <c:ptCount val="3"/>
                <c:pt idx="0">
                  <c:v>Commercial</c:v>
                </c:pt>
                <c:pt idx="1">
                  <c:v>Residential</c:v>
                </c:pt>
                <c:pt idx="2">
                  <c:v>Low Income</c:v>
                </c:pt>
              </c:strCache>
            </c:strRef>
          </c:cat>
          <c:val>
            <c:numRef>
              <c:f>'Figures for Chapter 4'!$W$45:$W$47</c:f>
              <c:numCache>
                <c:formatCode>"$"#,##0</c:formatCode>
                <c:ptCount val="3"/>
                <c:pt idx="0">
                  <c:v>3862338.6640025186</c:v>
                </c:pt>
                <c:pt idx="1">
                  <c:v>516782.93067674281</c:v>
                </c:pt>
                <c:pt idx="2">
                  <c:v>1878374.8523606553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E-4AA9-9613-CFB5C5C42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628649</xdr:colOff>
      <xdr:row>34</xdr:row>
      <xdr:rowOff>4761</xdr:rowOff>
    </xdr:from>
    <xdr:to>
      <xdr:col>20</xdr:col>
      <xdr:colOff>104775</xdr:colOff>
      <xdr:row>51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B22B70-71F6-440A-A98D-FD749EE44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314325</xdr:colOff>
      <xdr:row>16</xdr:row>
      <xdr:rowOff>80962</xdr:rowOff>
    </xdr:from>
    <xdr:to>
      <xdr:col>32</xdr:col>
      <xdr:colOff>76200</xdr:colOff>
      <xdr:row>36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1E8B77-ABAA-46EE-B619-BAFD934C5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614361</xdr:colOff>
      <xdr:row>49</xdr:row>
      <xdr:rowOff>185736</xdr:rowOff>
    </xdr:from>
    <xdr:to>
      <xdr:col>26</xdr:col>
      <xdr:colOff>609599</xdr:colOff>
      <xdr:row>68</xdr:row>
      <xdr:rowOff>95249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7AE65A3-E2B3-4466-9E03-B0F14A7BB2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ff9457\AppData\Local\Microsoft\Windows\INetCache\Content.Outlook\1Y2GD452\Copy%20of%202022%20Washington%20Electric%20BP%20-%209.23.21%20MP%20e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1.0 - NG AC"/>
      <sheetName val="2.0 - Source"/>
      <sheetName val="1.1 - Electric AC"/>
      <sheetName val="2.0 - NEBs"/>
      <sheetName val="3.1 - Res Pres"/>
      <sheetName val="3.2 - MF Direct Install"/>
      <sheetName val="3.3 - Small Home and MF Wx"/>
      <sheetName val="3.4 - New Homes"/>
      <sheetName val="3.4 - Open"/>
      <sheetName val="3.5 - WA LI"/>
      <sheetName val="3.6 - Open"/>
      <sheetName val="3.6 - Always On"/>
      <sheetName val="3.61 - OBR"/>
      <sheetName val="3.62 - Audit "/>
      <sheetName val="3.7 - Int Ltg"/>
      <sheetName val="3.8 - Ext Ltg"/>
      <sheetName val="3.9 - SS"/>
      <sheetName val="3.10 - NRShell"/>
      <sheetName val="3.13 - GreenMotor"/>
      <sheetName val="3.15 - Fleet"/>
      <sheetName val="3.14 - VFD"/>
      <sheetName val="3.19 - Grocer"/>
      <sheetName val="3.19 - Food"/>
      <sheetName val="3.20 - Compressed Air"/>
      <sheetName val="3.30 - AEM"/>
      <sheetName val="Non-Energy Impacts"/>
      <sheetName val="4.0 - Elec Program Summary"/>
      <sheetName val="5.0 - NIUC Split"/>
      <sheetName val="6.0 - Graphs"/>
      <sheetName val="7.0 - Tables"/>
      <sheetName val="8.0 - Programs Summary"/>
      <sheetName val="EM&amp;V Plan Tables"/>
      <sheetName val="App E Programs Summary"/>
      <sheetName val="App C"/>
      <sheetName val="Executive Summary"/>
      <sheetName val="1 - Introduction"/>
      <sheetName val="2 - CETA"/>
      <sheetName val="3 - Energy Efficiency Portfolio"/>
      <sheetName val="Sector Tables"/>
      <sheetName val="Program Tables"/>
      <sheetName val="Low Income Tables"/>
      <sheetName val="NR Sector Table"/>
      <sheetName val="CEIP Table"/>
      <sheetName val="NEI charts"/>
      <sheetName val="Sheet2"/>
      <sheetName val="Biennial Target"/>
      <sheetName val="NR NEI"/>
      <sheetName val="Sheet1"/>
      <sheetName val="Pilots"/>
      <sheetName val="NEI S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4">
          <cell r="P4">
            <v>40400.460718244154</v>
          </cell>
        </row>
      </sheetData>
      <sheetData sheetId="26" refreshError="1"/>
      <sheetData sheetId="27">
        <row r="27">
          <cell r="B27">
            <v>1600000</v>
          </cell>
        </row>
      </sheetData>
      <sheetData sheetId="28" refreshError="1"/>
      <sheetData sheetId="29" refreshError="1"/>
      <sheetData sheetId="30" refreshError="1"/>
      <sheetData sheetId="31">
        <row r="4">
          <cell r="C4">
            <v>2085404.4457350676</v>
          </cell>
        </row>
        <row r="8">
          <cell r="C8">
            <v>861439.66142879799</v>
          </cell>
        </row>
        <row r="9">
          <cell r="C9">
            <v>279502.82643973542</v>
          </cell>
        </row>
        <row r="10">
          <cell r="C10">
            <v>803739.49336296204</v>
          </cell>
        </row>
        <row r="11">
          <cell r="C11">
            <v>169207.91896868579</v>
          </cell>
        </row>
        <row r="14">
          <cell r="C14">
            <v>2805259.3800774235</v>
          </cell>
        </row>
        <row r="15">
          <cell r="C15">
            <v>2154842.0375886834</v>
          </cell>
        </row>
        <row r="16">
          <cell r="C16">
            <v>5965922.5667786244</v>
          </cell>
        </row>
        <row r="17">
          <cell r="C17">
            <v>73620.238188777657</v>
          </cell>
        </row>
        <row r="18">
          <cell r="C18">
            <v>186202.3014914841</v>
          </cell>
        </row>
        <row r="19">
          <cell r="C19">
            <v>495802.72425354994</v>
          </cell>
        </row>
        <row r="20">
          <cell r="C20">
            <v>8834.5538585217073</v>
          </cell>
        </row>
        <row r="21">
          <cell r="C21">
            <v>53700.190383070178</v>
          </cell>
        </row>
        <row r="22">
          <cell r="B22">
            <v>70814.5</v>
          </cell>
          <cell r="C22">
            <v>11923.492305034266</v>
          </cell>
        </row>
        <row r="23">
          <cell r="C23">
            <v>42246.638395992355</v>
          </cell>
        </row>
        <row r="24">
          <cell r="C24">
            <v>10769.066863078167</v>
          </cell>
        </row>
        <row r="31">
          <cell r="C31">
            <v>390369.15</v>
          </cell>
        </row>
        <row r="33">
          <cell r="C33">
            <v>1358000</v>
          </cell>
        </row>
        <row r="35">
          <cell r="C35">
            <v>2000000</v>
          </cell>
        </row>
        <row r="36">
          <cell r="C36">
            <v>1000000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9">
          <cell r="B9">
            <v>563873.54</v>
          </cell>
        </row>
        <row r="10">
          <cell r="B10">
            <v>413975.67231814784</v>
          </cell>
        </row>
      </sheetData>
      <sheetData sheetId="40">
        <row r="3">
          <cell r="C3">
            <v>116025</v>
          </cell>
          <cell r="I3">
            <v>1199790</v>
          </cell>
          <cell r="O3">
            <v>30035</v>
          </cell>
          <cell r="AA3">
            <v>233605</v>
          </cell>
        </row>
        <row r="6">
          <cell r="C6">
            <v>52859.72227759524</v>
          </cell>
          <cell r="I6">
            <v>471018.37387286272</v>
          </cell>
          <cell r="O6">
            <v>14874.039058953063</v>
          </cell>
          <cell r="U6">
            <v>273760.74654283701</v>
          </cell>
          <cell r="AA6">
            <v>112753.35369562778</v>
          </cell>
        </row>
        <row r="7">
          <cell r="C7">
            <v>0</v>
          </cell>
          <cell r="I7">
            <v>28267.106623791169</v>
          </cell>
          <cell r="O7">
            <v>0</v>
          </cell>
          <cell r="U7">
            <v>1439.5172985047093</v>
          </cell>
          <cell r="AA7">
            <v>557.07310868585512</v>
          </cell>
          <cell r="AG7">
            <v>75984.48491039018</v>
          </cell>
        </row>
        <row r="31">
          <cell r="U31">
            <v>789743.53204399999</v>
          </cell>
        </row>
        <row r="32">
          <cell r="I32">
            <v>1311023</v>
          </cell>
        </row>
        <row r="35">
          <cell r="U35">
            <v>399305.79729380447</v>
          </cell>
        </row>
        <row r="36">
          <cell r="I36">
            <v>72164.497368799362</v>
          </cell>
        </row>
        <row r="67">
          <cell r="C67">
            <v>9866089</v>
          </cell>
          <cell r="D67">
            <v>7255338.75</v>
          </cell>
          <cell r="O67">
            <v>18809000</v>
          </cell>
          <cell r="U67">
            <v>160500</v>
          </cell>
          <cell r="AA67">
            <v>40685</v>
          </cell>
        </row>
        <row r="71">
          <cell r="C71">
            <v>249121.58817950051</v>
          </cell>
          <cell r="D71">
            <v>183199.39260433105</v>
          </cell>
          <cell r="O71">
            <v>474932.66603090899</v>
          </cell>
          <cell r="AA71">
            <v>399.68376377668017</v>
          </cell>
        </row>
        <row r="126">
          <cell r="S126" t="str">
            <v>Food Services</v>
          </cell>
        </row>
        <row r="128">
          <cell r="C128">
            <v>773800</v>
          </cell>
          <cell r="I128">
            <v>412500</v>
          </cell>
          <cell r="U128">
            <v>169744</v>
          </cell>
          <cell r="AA128">
            <v>42000</v>
          </cell>
        </row>
        <row r="132">
          <cell r="C132">
            <v>2166.4687038682941</v>
          </cell>
          <cell r="I132">
            <v>0</v>
          </cell>
          <cell r="O132">
            <v>0</v>
          </cell>
          <cell r="U132">
            <v>11307.206000000002</v>
          </cell>
          <cell r="AA132">
            <v>4057.2000000000003</v>
          </cell>
        </row>
      </sheetData>
      <sheetData sheetId="41" refreshError="1"/>
      <sheetData sheetId="42" refreshError="1"/>
      <sheetData sheetId="43"/>
      <sheetData sheetId="44">
        <row r="20">
          <cell r="M20" t="str">
            <v>4 year NEIs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0000"/>
  </sheetPr>
  <dimension ref="B4:D40"/>
  <sheetViews>
    <sheetView workbookViewId="0"/>
  </sheetViews>
  <sheetFormatPr defaultRowHeight="15" x14ac:dyDescent="0.25"/>
  <cols>
    <col min="2" max="2" width="44.28515625" bestFit="1" customWidth="1"/>
    <col min="4" max="4" width="9.140625" style="112"/>
    <col min="5" max="5" width="34.7109375" bestFit="1" customWidth="1"/>
  </cols>
  <sheetData>
    <row r="4" spans="2:4" x14ac:dyDescent="0.25">
      <c r="B4" s="27" t="s">
        <v>577</v>
      </c>
    </row>
    <row r="5" spans="2:4" x14ac:dyDescent="0.25">
      <c r="B5" s="102" t="s">
        <v>513</v>
      </c>
      <c r="C5" s="120">
        <v>1</v>
      </c>
    </row>
    <row r="6" spans="2:4" x14ac:dyDescent="0.25">
      <c r="B6" s="102" t="s">
        <v>514</v>
      </c>
      <c r="C6" s="121">
        <v>2</v>
      </c>
    </row>
    <row r="7" spans="2:4" x14ac:dyDescent="0.25">
      <c r="B7" s="102" t="s">
        <v>515</v>
      </c>
      <c r="C7" s="121">
        <v>3</v>
      </c>
    </row>
    <row r="8" spans="2:4" x14ac:dyDescent="0.25">
      <c r="B8" s="102" t="s">
        <v>516</v>
      </c>
      <c r="C8" s="121">
        <v>4</v>
      </c>
    </row>
    <row r="9" spans="2:4" x14ac:dyDescent="0.25">
      <c r="B9" s="14" t="s">
        <v>518</v>
      </c>
      <c r="C9" s="120">
        <v>5</v>
      </c>
    </row>
    <row r="10" spans="2:4" x14ac:dyDescent="0.25">
      <c r="B10" s="102" t="s">
        <v>528</v>
      </c>
      <c r="C10" s="120">
        <v>6</v>
      </c>
    </row>
    <row r="11" spans="2:4" x14ac:dyDescent="0.25">
      <c r="B11" s="102" t="s">
        <v>531</v>
      </c>
      <c r="C11" s="120">
        <v>7</v>
      </c>
    </row>
    <row r="12" spans="2:4" x14ac:dyDescent="0.25">
      <c r="B12" s="102" t="s">
        <v>532</v>
      </c>
      <c r="C12" s="120">
        <v>8</v>
      </c>
    </row>
    <row r="13" spans="2:4" x14ac:dyDescent="0.25">
      <c r="B13" s="102" t="s">
        <v>533</v>
      </c>
      <c r="C13" s="120">
        <v>9</v>
      </c>
    </row>
    <row r="14" spans="2:4" x14ac:dyDescent="0.25">
      <c r="B14" s="102" t="s">
        <v>535</v>
      </c>
      <c r="C14" s="120">
        <v>10</v>
      </c>
    </row>
    <row r="15" spans="2:4" x14ac:dyDescent="0.25">
      <c r="B15" s="141" t="s">
        <v>537</v>
      </c>
      <c r="C15" s="142">
        <v>11</v>
      </c>
      <c r="D15" s="145"/>
    </row>
    <row r="16" spans="2:4" x14ac:dyDescent="0.25">
      <c r="B16" s="115" t="s">
        <v>538</v>
      </c>
      <c r="C16" s="120">
        <v>12</v>
      </c>
      <c r="D16" s="124"/>
    </row>
    <row r="17" spans="2:4" x14ac:dyDescent="0.25">
      <c r="B17" s="115" t="s">
        <v>539</v>
      </c>
      <c r="C17" s="120">
        <v>13</v>
      </c>
      <c r="D17" s="124"/>
    </row>
    <row r="18" spans="2:4" x14ac:dyDescent="0.25">
      <c r="B18" s="141" t="s">
        <v>540</v>
      </c>
      <c r="C18" s="142">
        <v>14</v>
      </c>
      <c r="D18" s="143"/>
    </row>
    <row r="19" spans="2:4" x14ac:dyDescent="0.25">
      <c r="B19" s="115" t="s">
        <v>541</v>
      </c>
      <c r="C19" s="120">
        <v>15</v>
      </c>
      <c r="D19" s="124"/>
    </row>
    <row r="20" spans="2:4" x14ac:dyDescent="0.25">
      <c r="B20" s="115" t="s">
        <v>542</v>
      </c>
      <c r="C20" s="120">
        <v>16</v>
      </c>
      <c r="D20" s="124"/>
    </row>
    <row r="21" spans="2:4" x14ac:dyDescent="0.25">
      <c r="B21" s="115" t="s">
        <v>543</v>
      </c>
      <c r="C21" s="120">
        <v>17</v>
      </c>
      <c r="D21" s="124"/>
    </row>
    <row r="22" spans="2:4" x14ac:dyDescent="0.25">
      <c r="B22" s="102" t="s">
        <v>544</v>
      </c>
      <c r="C22" s="120">
        <v>18</v>
      </c>
      <c r="D22" s="124"/>
    </row>
    <row r="23" spans="2:4" x14ac:dyDescent="0.25">
      <c r="B23" s="102" t="s">
        <v>545</v>
      </c>
      <c r="C23" s="120">
        <v>19</v>
      </c>
      <c r="D23" s="124"/>
    </row>
    <row r="24" spans="2:4" x14ac:dyDescent="0.25">
      <c r="B24" s="102" t="s">
        <v>547</v>
      </c>
      <c r="C24" s="120">
        <v>20</v>
      </c>
      <c r="D24" s="124"/>
    </row>
    <row r="25" spans="2:4" x14ac:dyDescent="0.25">
      <c r="B25" s="102" t="s">
        <v>548</v>
      </c>
      <c r="C25" s="120">
        <v>21</v>
      </c>
      <c r="D25" s="124"/>
    </row>
    <row r="26" spans="2:4" x14ac:dyDescent="0.25">
      <c r="B26" s="102" t="s">
        <v>549</v>
      </c>
      <c r="C26" s="120">
        <v>22</v>
      </c>
      <c r="D26" s="124"/>
    </row>
    <row r="27" spans="2:4" x14ac:dyDescent="0.25">
      <c r="B27" s="102" t="s">
        <v>550</v>
      </c>
      <c r="C27" s="120">
        <v>23</v>
      </c>
      <c r="D27" s="124"/>
    </row>
    <row r="28" spans="2:4" x14ac:dyDescent="0.25">
      <c r="B28" s="102" t="s">
        <v>552</v>
      </c>
      <c r="C28" s="120">
        <v>24</v>
      </c>
      <c r="D28" s="124"/>
    </row>
    <row r="29" spans="2:4" x14ac:dyDescent="0.25">
      <c r="B29" s="102" t="s">
        <v>553</v>
      </c>
      <c r="C29" s="120">
        <v>25</v>
      </c>
      <c r="D29" s="124"/>
    </row>
    <row r="30" spans="2:4" x14ac:dyDescent="0.25">
      <c r="B30" s="141" t="s">
        <v>554</v>
      </c>
      <c r="C30" s="142">
        <v>26</v>
      </c>
      <c r="D30" s="143"/>
    </row>
    <row r="31" spans="2:4" x14ac:dyDescent="0.25">
      <c r="B31" s="141" t="s">
        <v>568</v>
      </c>
      <c r="C31" s="144">
        <v>27</v>
      </c>
      <c r="D31" s="145"/>
    </row>
    <row r="34" spans="2:3" x14ac:dyDescent="0.25">
      <c r="B34" s="27" t="s">
        <v>522</v>
      </c>
    </row>
    <row r="35" spans="2:3" x14ac:dyDescent="0.25">
      <c r="B35" s="102" t="s">
        <v>517</v>
      </c>
      <c r="C35" s="122" t="s">
        <v>521</v>
      </c>
    </row>
    <row r="36" spans="2:3" x14ac:dyDescent="0.25">
      <c r="B36" s="102" t="s">
        <v>520</v>
      </c>
      <c r="C36" s="122" t="s">
        <v>523</v>
      </c>
    </row>
    <row r="37" spans="2:3" x14ac:dyDescent="0.25">
      <c r="B37" s="102" t="s">
        <v>524</v>
      </c>
      <c r="C37" s="122" t="s">
        <v>525</v>
      </c>
    </row>
    <row r="38" spans="2:3" x14ac:dyDescent="0.25">
      <c r="B38" s="102" t="s">
        <v>530</v>
      </c>
      <c r="C38" s="122" t="s">
        <v>529</v>
      </c>
    </row>
    <row r="39" spans="2:3" x14ac:dyDescent="0.25">
      <c r="B39" s="102" t="s">
        <v>534</v>
      </c>
      <c r="C39" s="122" t="s">
        <v>529</v>
      </c>
    </row>
    <row r="40" spans="2:3" x14ac:dyDescent="0.25">
      <c r="B40" s="139" t="s">
        <v>574</v>
      </c>
      <c r="C40" s="138" t="s">
        <v>571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>
    <tabColor rgb="FFFF0000"/>
  </sheetPr>
  <dimension ref="A1:Q282"/>
  <sheetViews>
    <sheetView workbookViewId="0"/>
  </sheetViews>
  <sheetFormatPr defaultColWidth="9.140625" defaultRowHeight="15" x14ac:dyDescent="0.25"/>
  <cols>
    <col min="1" max="1" width="98" style="23" customWidth="1"/>
    <col min="2" max="2" width="22.42578125" style="23" customWidth="1"/>
    <col min="3" max="3" width="13.5703125" style="23" customWidth="1"/>
    <col min="4" max="4" width="9.5703125" style="23" customWidth="1"/>
    <col min="5" max="7" width="9.140625" style="23"/>
    <col min="8" max="8" width="18.28515625" style="23" customWidth="1"/>
    <col min="9" max="9" width="18.5703125" style="23" bestFit="1" customWidth="1"/>
    <col min="10" max="10" width="9.140625" style="23"/>
    <col min="11" max="11" width="11" style="23" customWidth="1"/>
    <col min="12" max="12" width="9.140625" style="23"/>
    <col min="13" max="13" width="29.42578125" style="23" bestFit="1" customWidth="1"/>
    <col min="14" max="14" width="48.42578125" style="23" bestFit="1" customWidth="1"/>
    <col min="15" max="15" width="11.85546875" style="23" customWidth="1"/>
    <col min="16" max="16" width="38.7109375" style="23" bestFit="1" customWidth="1"/>
    <col min="17" max="17" width="25.140625" style="23" customWidth="1"/>
    <col min="18" max="16384" width="9.140625" style="23"/>
  </cols>
  <sheetData>
    <row r="1" spans="1:17" x14ac:dyDescent="0.25">
      <c r="A1" s="23" t="s">
        <v>88</v>
      </c>
    </row>
    <row r="2" spans="1:17" ht="15.75" thickBot="1" x14ac:dyDescent="0.3">
      <c r="A2" s="27" t="s">
        <v>89</v>
      </c>
    </row>
    <row r="3" spans="1:17" x14ac:dyDescent="0.25">
      <c r="A3" s="28"/>
      <c r="B3" s="29"/>
      <c r="C3" s="29"/>
      <c r="D3" s="29"/>
      <c r="E3" s="29" t="s">
        <v>90</v>
      </c>
      <c r="F3" s="29"/>
      <c r="G3" s="29"/>
      <c r="H3" s="29"/>
      <c r="I3" s="29"/>
      <c r="J3" s="29" t="s">
        <v>91</v>
      </c>
      <c r="K3" s="29"/>
      <c r="L3" s="29"/>
      <c r="M3" s="30" t="s">
        <v>92</v>
      </c>
      <c r="N3" s="29"/>
      <c r="O3" s="29"/>
      <c r="P3" s="29"/>
      <c r="Q3" s="31"/>
    </row>
    <row r="4" spans="1:17" x14ac:dyDescent="0.25">
      <c r="A4" s="88" t="s">
        <v>93</v>
      </c>
      <c r="B4" s="33" t="s">
        <v>94</v>
      </c>
      <c r="C4" s="33" t="s">
        <v>95</v>
      </c>
      <c r="D4" s="33" t="s">
        <v>96</v>
      </c>
      <c r="E4" s="33" t="s">
        <v>97</v>
      </c>
      <c r="F4" s="33" t="s">
        <v>98</v>
      </c>
      <c r="G4" s="33" t="s">
        <v>99</v>
      </c>
      <c r="H4" s="33" t="s">
        <v>100</v>
      </c>
      <c r="I4" s="33" t="s">
        <v>43</v>
      </c>
      <c r="J4" s="33" t="s">
        <v>98</v>
      </c>
      <c r="K4" s="33" t="s">
        <v>99</v>
      </c>
      <c r="L4" s="33" t="s">
        <v>43</v>
      </c>
      <c r="M4" s="34" t="s">
        <v>101</v>
      </c>
      <c r="N4" s="33" t="s">
        <v>102</v>
      </c>
      <c r="O4" s="33" t="s">
        <v>43</v>
      </c>
      <c r="P4" s="33" t="s">
        <v>103</v>
      </c>
      <c r="Q4" s="35" t="s">
        <v>104</v>
      </c>
    </row>
    <row r="5" spans="1:17" x14ac:dyDescent="0.25">
      <c r="A5" s="88" t="s">
        <v>105</v>
      </c>
      <c r="B5" s="33" t="s">
        <v>106</v>
      </c>
      <c r="C5" s="33" t="s">
        <v>106</v>
      </c>
      <c r="D5" s="33">
        <v>-14.342697791114915</v>
      </c>
      <c r="E5" s="33">
        <v>6.4227103587596623</v>
      </c>
      <c r="F5" s="33">
        <v>29.126846047397862</v>
      </c>
      <c r="G5" s="33">
        <v>48.152877110179858</v>
      </c>
      <c r="H5" s="33">
        <v>2.4170392769429694</v>
      </c>
      <c r="I5" s="33">
        <v>86.119472793280352</v>
      </c>
      <c r="J5" s="33">
        <v>0</v>
      </c>
      <c r="K5" s="33">
        <v>0</v>
      </c>
      <c r="L5" s="33">
        <v>0</v>
      </c>
      <c r="M5" s="34">
        <v>6.3705387838615417</v>
      </c>
      <c r="N5" s="33">
        <v>0</v>
      </c>
      <c r="O5" s="33">
        <v>6.3705387838615417</v>
      </c>
      <c r="P5" s="33">
        <v>14.2</v>
      </c>
      <c r="Q5" s="35" t="s">
        <v>107</v>
      </c>
    </row>
    <row r="6" spans="1:17" x14ac:dyDescent="0.25">
      <c r="A6" s="88" t="s">
        <v>105</v>
      </c>
      <c r="B6" s="33" t="s">
        <v>106</v>
      </c>
      <c r="C6" s="33" t="s">
        <v>108</v>
      </c>
      <c r="D6" s="33">
        <v>-14.342697791114915</v>
      </c>
      <c r="E6" s="33">
        <v>6.4227103587596623</v>
      </c>
      <c r="F6" s="33">
        <v>0</v>
      </c>
      <c r="G6" s="33">
        <v>48.152877110179858</v>
      </c>
      <c r="H6" s="33">
        <v>2.4170392769429694</v>
      </c>
      <c r="I6" s="33">
        <v>56.99262674588249</v>
      </c>
      <c r="J6" s="33">
        <v>1.1122529493321309</v>
      </c>
      <c r="K6" s="33">
        <v>0</v>
      </c>
      <c r="L6" s="33">
        <v>1.1122529493321309</v>
      </c>
      <c r="M6" s="34">
        <v>6.3705387838615417</v>
      </c>
      <c r="N6" s="33">
        <v>0</v>
      </c>
      <c r="O6" s="33">
        <v>6.3705387838615417</v>
      </c>
      <c r="P6" s="33">
        <v>14.2</v>
      </c>
      <c r="Q6" s="35" t="s">
        <v>107</v>
      </c>
    </row>
    <row r="7" spans="1:17" x14ac:dyDescent="0.25">
      <c r="A7" s="88" t="s">
        <v>105</v>
      </c>
      <c r="B7" s="33" t="s">
        <v>108</v>
      </c>
      <c r="C7" s="33" t="s">
        <v>106</v>
      </c>
      <c r="D7" s="33">
        <v>-14.342697791114915</v>
      </c>
      <c r="E7" s="33">
        <v>6.4227103587596623</v>
      </c>
      <c r="F7" s="33">
        <v>29.126846047397862</v>
      </c>
      <c r="G7" s="33">
        <v>0</v>
      </c>
      <c r="H7" s="33">
        <v>2.4170392769429694</v>
      </c>
      <c r="I7" s="33">
        <v>37.966595683100493</v>
      </c>
      <c r="J7" s="33">
        <v>0</v>
      </c>
      <c r="K7" s="33">
        <v>2.1890367909037827</v>
      </c>
      <c r="L7" s="33">
        <v>2.1890367909037827</v>
      </c>
      <c r="M7" s="34">
        <v>6.3705387838615417</v>
      </c>
      <c r="N7" s="33">
        <v>0</v>
      </c>
      <c r="O7" s="33">
        <v>6.3705387838615417</v>
      </c>
      <c r="P7" s="33">
        <v>14.2</v>
      </c>
      <c r="Q7" s="35" t="s">
        <v>107</v>
      </c>
    </row>
    <row r="8" spans="1:17" x14ac:dyDescent="0.25">
      <c r="A8" s="88" t="s">
        <v>105</v>
      </c>
      <c r="B8" s="33" t="s">
        <v>108</v>
      </c>
      <c r="C8" s="33" t="s">
        <v>108</v>
      </c>
      <c r="D8" s="33">
        <v>-14.342697791114915</v>
      </c>
      <c r="E8" s="33">
        <v>6.4227103587596623</v>
      </c>
      <c r="F8" s="33">
        <v>0</v>
      </c>
      <c r="G8" s="33">
        <v>0</v>
      </c>
      <c r="H8" s="33">
        <v>2.4170392769429694</v>
      </c>
      <c r="I8" s="33">
        <v>8.8397496357026313</v>
      </c>
      <c r="J8" s="33">
        <v>1.1122529493321309</v>
      </c>
      <c r="K8" s="33">
        <v>2.1890367909037827</v>
      </c>
      <c r="L8" s="33">
        <v>3.3012897402359136</v>
      </c>
      <c r="M8" s="34">
        <v>6.3705387838615417</v>
      </c>
      <c r="N8" s="33">
        <v>0</v>
      </c>
      <c r="O8" s="33">
        <v>6.3705387838615417</v>
      </c>
      <c r="P8" s="33">
        <v>14.2</v>
      </c>
      <c r="Q8" s="35" t="s">
        <v>107</v>
      </c>
    </row>
    <row r="9" spans="1:17" x14ac:dyDescent="0.25">
      <c r="A9" s="88" t="s">
        <v>105</v>
      </c>
      <c r="B9" s="33" t="s">
        <v>109</v>
      </c>
      <c r="C9" s="33" t="s">
        <v>109</v>
      </c>
      <c r="D9" s="33">
        <v>-14.342697791114915</v>
      </c>
      <c r="E9" s="33">
        <v>6.4227103587596623</v>
      </c>
      <c r="F9" s="33">
        <v>27.670503745027972</v>
      </c>
      <c r="G9" s="33">
        <v>28.512094049807573</v>
      </c>
      <c r="H9" s="33">
        <v>2.4170392769429694</v>
      </c>
      <c r="I9" s="33">
        <v>65.022347430538176</v>
      </c>
      <c r="J9" s="33">
        <v>5.561264746660647E-2</v>
      </c>
      <c r="K9" s="33">
        <v>0.89287285208188316</v>
      </c>
      <c r="L9" s="33">
        <v>0.9484854995484896</v>
      </c>
      <c r="M9" s="34">
        <v>6.3705387838615417</v>
      </c>
      <c r="N9" s="33">
        <v>0</v>
      </c>
      <c r="O9" s="33">
        <v>6.3705387838615417</v>
      </c>
      <c r="P9" s="33">
        <v>14.2</v>
      </c>
      <c r="Q9" s="35" t="s">
        <v>107</v>
      </c>
    </row>
    <row r="10" spans="1:17" x14ac:dyDescent="0.25">
      <c r="A10" s="88" t="s">
        <v>110</v>
      </c>
      <c r="B10" s="33" t="s">
        <v>106</v>
      </c>
      <c r="C10" s="33" t="s">
        <v>106</v>
      </c>
      <c r="D10" s="33">
        <v>98.411380484116421</v>
      </c>
      <c r="E10" s="33">
        <v>-9.3932138996859962</v>
      </c>
      <c r="F10" s="33">
        <v>63.515727852221062</v>
      </c>
      <c r="G10" s="33">
        <v>72.864480016122798</v>
      </c>
      <c r="H10" s="33">
        <v>7.0249194193299553</v>
      </c>
      <c r="I10" s="33">
        <v>134.01191338798782</v>
      </c>
      <c r="J10" s="33">
        <v>0</v>
      </c>
      <c r="K10" s="33">
        <v>0</v>
      </c>
      <c r="L10" s="33">
        <v>0</v>
      </c>
      <c r="M10" s="34">
        <v>18.485919263025149</v>
      </c>
      <c r="N10" s="33">
        <v>0</v>
      </c>
      <c r="O10" s="33">
        <v>18.485919263025149</v>
      </c>
      <c r="P10" s="33">
        <v>14.2</v>
      </c>
      <c r="Q10" s="35">
        <v>0</v>
      </c>
    </row>
    <row r="11" spans="1:17" x14ac:dyDescent="0.25">
      <c r="A11" s="88" t="s">
        <v>110</v>
      </c>
      <c r="B11" s="33" t="s">
        <v>106</v>
      </c>
      <c r="C11" s="33" t="s">
        <v>108</v>
      </c>
      <c r="D11" s="33">
        <v>98.411380484116421</v>
      </c>
      <c r="E11" s="33">
        <v>-9.3932138996859962</v>
      </c>
      <c r="F11" s="33">
        <v>0</v>
      </c>
      <c r="G11" s="33">
        <v>72.864480016122798</v>
      </c>
      <c r="H11" s="33">
        <v>7.0249194193299553</v>
      </c>
      <c r="I11" s="33">
        <v>70.496185535766756</v>
      </c>
      <c r="J11" s="33">
        <v>2.425444743232724</v>
      </c>
      <c r="K11" s="33">
        <v>0</v>
      </c>
      <c r="L11" s="33">
        <v>2.425444743232724</v>
      </c>
      <c r="M11" s="34">
        <v>18.485919263025149</v>
      </c>
      <c r="N11" s="33">
        <v>0</v>
      </c>
      <c r="O11" s="33">
        <v>18.485919263025149</v>
      </c>
      <c r="P11" s="33">
        <v>14.2</v>
      </c>
      <c r="Q11" s="35">
        <v>0</v>
      </c>
    </row>
    <row r="12" spans="1:17" x14ac:dyDescent="0.25">
      <c r="A12" s="88" t="s">
        <v>110</v>
      </c>
      <c r="B12" s="33" t="s">
        <v>108</v>
      </c>
      <c r="C12" s="33" t="s">
        <v>106</v>
      </c>
      <c r="D12" s="33">
        <v>98.411380484116421</v>
      </c>
      <c r="E12" s="33">
        <v>-9.3932138996859962</v>
      </c>
      <c r="F12" s="33">
        <v>63.515727852221062</v>
      </c>
      <c r="G12" s="33">
        <v>0</v>
      </c>
      <c r="H12" s="33">
        <v>7.0249194193299553</v>
      </c>
      <c r="I12" s="33">
        <v>61.14743337186502</v>
      </c>
      <c r="J12" s="33">
        <v>0</v>
      </c>
      <c r="K12" s="33">
        <v>3.3124298500462013</v>
      </c>
      <c r="L12" s="33">
        <v>3.3124298500462013</v>
      </c>
      <c r="M12" s="34">
        <v>18.485919263025149</v>
      </c>
      <c r="N12" s="33">
        <v>0</v>
      </c>
      <c r="O12" s="33">
        <v>18.485919263025149</v>
      </c>
      <c r="P12" s="33">
        <v>14.2</v>
      </c>
      <c r="Q12" s="35">
        <v>0</v>
      </c>
    </row>
    <row r="13" spans="1:17" x14ac:dyDescent="0.25">
      <c r="A13" s="88" t="s">
        <v>110</v>
      </c>
      <c r="B13" s="33" t="s">
        <v>108</v>
      </c>
      <c r="C13" s="33" t="s">
        <v>108</v>
      </c>
      <c r="D13" s="33">
        <v>98.411380484116421</v>
      </c>
      <c r="E13" s="33">
        <v>-9.3932138996859962</v>
      </c>
      <c r="F13" s="33">
        <v>0</v>
      </c>
      <c r="G13" s="33">
        <v>0</v>
      </c>
      <c r="H13" s="33">
        <v>7.0249194193299553</v>
      </c>
      <c r="I13" s="33">
        <v>-2.3682944803560408</v>
      </c>
      <c r="J13" s="33">
        <v>2.425444743232724</v>
      </c>
      <c r="K13" s="33">
        <v>3.3124298500462013</v>
      </c>
      <c r="L13" s="33">
        <v>5.7378745932789252</v>
      </c>
      <c r="M13" s="34">
        <v>18.485919263025149</v>
      </c>
      <c r="N13" s="33">
        <v>0</v>
      </c>
      <c r="O13" s="33">
        <v>18.485919263025149</v>
      </c>
      <c r="P13" s="33">
        <v>14.2</v>
      </c>
      <c r="Q13" s="35">
        <v>0</v>
      </c>
    </row>
    <row r="14" spans="1:17" x14ac:dyDescent="0.25">
      <c r="A14" s="88" t="s">
        <v>110</v>
      </c>
      <c r="B14" s="33" t="s">
        <v>109</v>
      </c>
      <c r="C14" s="33" t="s">
        <v>109</v>
      </c>
      <c r="D14" s="33">
        <v>98.411380484116421</v>
      </c>
      <c r="E14" s="33">
        <v>-9.3932138996859962</v>
      </c>
      <c r="F14" s="33">
        <v>60.33994145961001</v>
      </c>
      <c r="G14" s="33">
        <v>43.14423211631555</v>
      </c>
      <c r="H14" s="33">
        <v>7.0249194193299553</v>
      </c>
      <c r="I14" s="33">
        <v>101.11587909556953</v>
      </c>
      <c r="J14" s="33">
        <v>0.12127223716163604</v>
      </c>
      <c r="K14" s="33">
        <v>1.3510867884092654</v>
      </c>
      <c r="L14" s="33">
        <v>1.4723590255709014</v>
      </c>
      <c r="M14" s="34">
        <v>18.485919263025149</v>
      </c>
      <c r="N14" s="33">
        <v>0</v>
      </c>
      <c r="O14" s="33">
        <v>18.485919263025149</v>
      </c>
      <c r="P14" s="33">
        <v>14.2</v>
      </c>
      <c r="Q14" s="35">
        <v>0</v>
      </c>
    </row>
    <row r="15" spans="1:17" x14ac:dyDescent="0.25">
      <c r="A15" s="88" t="s">
        <v>111</v>
      </c>
      <c r="B15" s="33" t="s">
        <v>106</v>
      </c>
      <c r="C15" s="33" t="s">
        <v>106</v>
      </c>
      <c r="D15" s="33">
        <v>80.136744507462936</v>
      </c>
      <c r="E15" s="33">
        <v>-9.3932138996860033</v>
      </c>
      <c r="F15" s="33">
        <v>55.577782971273564</v>
      </c>
      <c r="G15" s="33">
        <v>55.555909909425864</v>
      </c>
      <c r="H15" s="33">
        <v>6.1494284867916331</v>
      </c>
      <c r="I15" s="33">
        <v>107.88990746780506</v>
      </c>
      <c r="J15" s="33">
        <v>0</v>
      </c>
      <c r="K15" s="33">
        <v>0</v>
      </c>
      <c r="L15" s="33">
        <v>0</v>
      </c>
      <c r="M15" s="34">
        <v>16.182053342141799</v>
      </c>
      <c r="N15" s="33">
        <v>0</v>
      </c>
      <c r="O15" s="33">
        <v>16.182053342141799</v>
      </c>
      <c r="P15" s="33">
        <v>14.2</v>
      </c>
      <c r="Q15" s="35">
        <v>0</v>
      </c>
    </row>
    <row r="16" spans="1:17" x14ac:dyDescent="0.25">
      <c r="A16" s="88" t="s">
        <v>111</v>
      </c>
      <c r="B16" s="33" t="s">
        <v>106</v>
      </c>
      <c r="C16" s="33" t="s">
        <v>108</v>
      </c>
      <c r="D16" s="33">
        <v>80.136744507462936</v>
      </c>
      <c r="E16" s="33">
        <v>-9.3932138996860033</v>
      </c>
      <c r="F16" s="33">
        <v>0</v>
      </c>
      <c r="G16" s="33">
        <v>55.555909909425864</v>
      </c>
      <c r="H16" s="33">
        <v>6.1494284867916331</v>
      </c>
      <c r="I16" s="33">
        <v>52.312124496531496</v>
      </c>
      <c r="J16" s="33">
        <v>2.1223222358694969</v>
      </c>
      <c r="K16" s="33">
        <v>0</v>
      </c>
      <c r="L16" s="33">
        <v>2.1223222358694969</v>
      </c>
      <c r="M16" s="34">
        <v>16.182053342141799</v>
      </c>
      <c r="N16" s="33">
        <v>0</v>
      </c>
      <c r="O16" s="33">
        <v>16.182053342141799</v>
      </c>
      <c r="P16" s="33">
        <v>14.2</v>
      </c>
      <c r="Q16" s="35">
        <v>0</v>
      </c>
    </row>
    <row r="17" spans="1:17" x14ac:dyDescent="0.25">
      <c r="A17" s="88" t="s">
        <v>111</v>
      </c>
      <c r="B17" s="33" t="s">
        <v>108</v>
      </c>
      <c r="C17" s="33" t="s">
        <v>106</v>
      </c>
      <c r="D17" s="33">
        <v>80.136744507462936</v>
      </c>
      <c r="E17" s="33">
        <v>-9.3932138996860033</v>
      </c>
      <c r="F17" s="33">
        <v>55.577782971273564</v>
      </c>
      <c r="G17" s="33">
        <v>0</v>
      </c>
      <c r="H17" s="33">
        <v>6.1494284867916331</v>
      </c>
      <c r="I17" s="33">
        <v>52.333997558379195</v>
      </c>
      <c r="J17" s="33">
        <v>0</v>
      </c>
      <c r="K17" s="33">
        <v>2.5255797377506899</v>
      </c>
      <c r="L17" s="33">
        <v>2.5255797377506899</v>
      </c>
      <c r="M17" s="34">
        <v>16.182053342141799</v>
      </c>
      <c r="N17" s="33">
        <v>0</v>
      </c>
      <c r="O17" s="33">
        <v>16.182053342141799</v>
      </c>
      <c r="P17" s="33">
        <v>14.2</v>
      </c>
      <c r="Q17" s="35">
        <v>0</v>
      </c>
    </row>
    <row r="18" spans="1:17" x14ac:dyDescent="0.25">
      <c r="A18" s="88" t="s">
        <v>111</v>
      </c>
      <c r="B18" s="33" t="s">
        <v>108</v>
      </c>
      <c r="C18" s="33" t="s">
        <v>108</v>
      </c>
      <c r="D18" s="33">
        <v>80.136744507462936</v>
      </c>
      <c r="E18" s="33">
        <v>-9.3932138996860033</v>
      </c>
      <c r="F18" s="33">
        <v>0</v>
      </c>
      <c r="G18" s="33">
        <v>0</v>
      </c>
      <c r="H18" s="33">
        <v>6.1494284867916331</v>
      </c>
      <c r="I18" s="33">
        <v>-3.2437854128943702</v>
      </c>
      <c r="J18" s="33">
        <v>2.1223222358694969</v>
      </c>
      <c r="K18" s="33">
        <v>2.5255797377506899</v>
      </c>
      <c r="L18" s="33">
        <v>4.6479019736201863</v>
      </c>
      <c r="M18" s="34">
        <v>16.182053342141799</v>
      </c>
      <c r="N18" s="33">
        <v>0</v>
      </c>
      <c r="O18" s="33">
        <v>16.182053342141799</v>
      </c>
      <c r="P18" s="33">
        <v>14.2</v>
      </c>
      <c r="Q18" s="35">
        <v>0</v>
      </c>
    </row>
    <row r="19" spans="1:17" x14ac:dyDescent="0.25">
      <c r="A19" s="88" t="s">
        <v>111</v>
      </c>
      <c r="B19" s="33" t="s">
        <v>109</v>
      </c>
      <c r="C19" s="33" t="s">
        <v>109</v>
      </c>
      <c r="D19" s="33">
        <v>80.136744507462936</v>
      </c>
      <c r="E19" s="33">
        <v>-9.3932138996860033</v>
      </c>
      <c r="F19" s="33">
        <v>52.798893822709893</v>
      </c>
      <c r="G19" s="33">
        <v>32.895548997742331</v>
      </c>
      <c r="H19" s="33">
        <v>6.1494284867916331</v>
      </c>
      <c r="I19" s="33">
        <v>82.450657407557856</v>
      </c>
      <c r="J19" s="33">
        <v>0.1061161117934747</v>
      </c>
      <c r="K19" s="33">
        <v>1.0301433000012061</v>
      </c>
      <c r="L19" s="33">
        <v>1.1362594117946809</v>
      </c>
      <c r="M19" s="34">
        <v>16.182053342141799</v>
      </c>
      <c r="N19" s="33">
        <v>0</v>
      </c>
      <c r="O19" s="33">
        <v>16.182053342141799</v>
      </c>
      <c r="P19" s="33">
        <v>14.2</v>
      </c>
      <c r="Q19" s="35">
        <v>0</v>
      </c>
    </row>
    <row r="20" spans="1:17" x14ac:dyDescent="0.25">
      <c r="A20" s="88" t="s">
        <v>112</v>
      </c>
      <c r="B20" s="33" t="s">
        <v>106</v>
      </c>
      <c r="C20" s="33" t="s">
        <v>106</v>
      </c>
      <c r="D20" s="33">
        <v>125.26043185785454</v>
      </c>
      <c r="E20" s="33">
        <v>-9.3932138996860104</v>
      </c>
      <c r="F20" s="33">
        <v>68.679381912808708</v>
      </c>
      <c r="G20" s="33">
        <v>85.769241966338029</v>
      </c>
      <c r="H20" s="33">
        <v>7.7193151735853398</v>
      </c>
      <c r="I20" s="33">
        <v>152.77472515304606</v>
      </c>
      <c r="J20" s="33">
        <v>0</v>
      </c>
      <c r="K20" s="33">
        <v>0</v>
      </c>
      <c r="L20" s="33">
        <v>0</v>
      </c>
      <c r="M20" s="34">
        <v>20.311650066463201</v>
      </c>
      <c r="N20" s="33">
        <v>0</v>
      </c>
      <c r="O20" s="33">
        <v>20.311650066463201</v>
      </c>
      <c r="P20" s="33">
        <v>14.2</v>
      </c>
      <c r="Q20" s="35">
        <v>0</v>
      </c>
    </row>
    <row r="21" spans="1:17" x14ac:dyDescent="0.25">
      <c r="A21" s="88" t="s">
        <v>112</v>
      </c>
      <c r="B21" s="33" t="s">
        <v>106</v>
      </c>
      <c r="C21" s="33" t="s">
        <v>108</v>
      </c>
      <c r="D21" s="33">
        <v>125.26043185785454</v>
      </c>
      <c r="E21" s="33">
        <v>-9.3932138996860104</v>
      </c>
      <c r="F21" s="33">
        <v>0</v>
      </c>
      <c r="G21" s="33">
        <v>85.769241966338029</v>
      </c>
      <c r="H21" s="33">
        <v>7.7193151735853398</v>
      </c>
      <c r="I21" s="33">
        <v>84.095343240237369</v>
      </c>
      <c r="J21" s="33">
        <v>2.6226267329638944</v>
      </c>
      <c r="K21" s="33">
        <v>0</v>
      </c>
      <c r="L21" s="33">
        <v>2.6226267329638944</v>
      </c>
      <c r="M21" s="34">
        <v>20.311650066463201</v>
      </c>
      <c r="N21" s="33">
        <v>0</v>
      </c>
      <c r="O21" s="33">
        <v>20.311650066463201</v>
      </c>
      <c r="P21" s="33">
        <v>14.2</v>
      </c>
      <c r="Q21" s="35">
        <v>0</v>
      </c>
    </row>
    <row r="22" spans="1:17" x14ac:dyDescent="0.25">
      <c r="A22" s="88" t="s">
        <v>112</v>
      </c>
      <c r="B22" s="33" t="s">
        <v>108</v>
      </c>
      <c r="C22" s="33" t="s">
        <v>106</v>
      </c>
      <c r="D22" s="33">
        <v>125.26043185785454</v>
      </c>
      <c r="E22" s="33">
        <v>-9.3932138996860104</v>
      </c>
      <c r="F22" s="33">
        <v>68.679381912808708</v>
      </c>
      <c r="G22" s="33">
        <v>0</v>
      </c>
      <c r="H22" s="33">
        <v>7.7193151735853398</v>
      </c>
      <c r="I22" s="33">
        <v>67.005483186708034</v>
      </c>
      <c r="J22" s="33">
        <v>0</v>
      </c>
      <c r="K22" s="33">
        <v>3.8990822035958996</v>
      </c>
      <c r="L22" s="33">
        <v>3.8990822035958996</v>
      </c>
      <c r="M22" s="34">
        <v>20.311650066463201</v>
      </c>
      <c r="N22" s="33">
        <v>0</v>
      </c>
      <c r="O22" s="33">
        <v>20.311650066463201</v>
      </c>
      <c r="P22" s="33">
        <v>14.2</v>
      </c>
      <c r="Q22" s="35">
        <v>0</v>
      </c>
    </row>
    <row r="23" spans="1:17" x14ac:dyDescent="0.25">
      <c r="A23" s="88" t="s">
        <v>112</v>
      </c>
      <c r="B23" s="33" t="s">
        <v>108</v>
      </c>
      <c r="C23" s="33" t="s">
        <v>108</v>
      </c>
      <c r="D23" s="33">
        <v>125.26043185785454</v>
      </c>
      <c r="E23" s="33">
        <v>-9.3932138996860104</v>
      </c>
      <c r="F23" s="33">
        <v>0</v>
      </c>
      <c r="G23" s="33">
        <v>0</v>
      </c>
      <c r="H23" s="33">
        <v>7.7193151735853398</v>
      </c>
      <c r="I23" s="33">
        <v>-1.6738987261006706</v>
      </c>
      <c r="J23" s="33">
        <v>2.6226267329638944</v>
      </c>
      <c r="K23" s="33">
        <v>3.8990822035958996</v>
      </c>
      <c r="L23" s="33">
        <v>6.5217089365597936</v>
      </c>
      <c r="M23" s="34">
        <v>20.311650066463201</v>
      </c>
      <c r="N23" s="33">
        <v>0</v>
      </c>
      <c r="O23" s="33">
        <v>20.311650066463201</v>
      </c>
      <c r="P23" s="33">
        <v>14.2</v>
      </c>
      <c r="Q23" s="35">
        <v>0</v>
      </c>
    </row>
    <row r="24" spans="1:17" x14ac:dyDescent="0.25">
      <c r="A24" s="88" t="s">
        <v>112</v>
      </c>
      <c r="B24" s="33" t="s">
        <v>109</v>
      </c>
      <c r="C24" s="33" t="s">
        <v>109</v>
      </c>
      <c r="D24" s="33">
        <v>125.26043185785454</v>
      </c>
      <c r="E24" s="33">
        <v>-9.3932138996860104</v>
      </c>
      <c r="F24" s="33">
        <v>65.245412817168273</v>
      </c>
      <c r="G24" s="33">
        <v>50.78534950111932</v>
      </c>
      <c r="H24" s="33">
        <v>7.7193151735853398</v>
      </c>
      <c r="I24" s="33">
        <v>114.35686359218693</v>
      </c>
      <c r="J24" s="33">
        <v>0.13113133664819454</v>
      </c>
      <c r="K24" s="33">
        <v>1.590372835254648</v>
      </c>
      <c r="L24" s="33">
        <v>1.7215041719028426</v>
      </c>
      <c r="M24" s="34">
        <v>20.311650066463201</v>
      </c>
      <c r="N24" s="33">
        <v>0</v>
      </c>
      <c r="O24" s="33">
        <v>20.311650066463201</v>
      </c>
      <c r="P24" s="33">
        <v>14.2</v>
      </c>
      <c r="Q24" s="35">
        <v>0</v>
      </c>
    </row>
    <row r="25" spans="1:17" x14ac:dyDescent="0.25">
      <c r="A25" s="88" t="s">
        <v>113</v>
      </c>
      <c r="B25" s="33" t="s">
        <v>106</v>
      </c>
      <c r="C25" s="33" t="s">
        <v>106</v>
      </c>
      <c r="D25" s="33">
        <v>124.46974155728935</v>
      </c>
      <c r="E25" s="33">
        <v>-9.3932138996859962</v>
      </c>
      <c r="F25" s="33">
        <v>77.823418167738851</v>
      </c>
      <c r="G25" s="33">
        <v>103.30543469106063</v>
      </c>
      <c r="H25" s="33">
        <v>8.5455071285363502</v>
      </c>
      <c r="I25" s="33">
        <v>180.28114608764983</v>
      </c>
      <c r="J25" s="33">
        <v>0</v>
      </c>
      <c r="K25" s="33">
        <v>0</v>
      </c>
      <c r="L25" s="33">
        <v>0</v>
      </c>
      <c r="M25" s="34">
        <v>22.488092834209539</v>
      </c>
      <c r="N25" s="33">
        <v>0</v>
      </c>
      <c r="O25" s="33">
        <v>22.488092834209539</v>
      </c>
      <c r="P25" s="33">
        <v>14.2</v>
      </c>
      <c r="Q25" s="35">
        <v>0</v>
      </c>
    </row>
    <row r="26" spans="1:17" x14ac:dyDescent="0.25">
      <c r="A26" s="88" t="s">
        <v>113</v>
      </c>
      <c r="B26" s="33" t="s">
        <v>106</v>
      </c>
      <c r="C26" s="33" t="s">
        <v>108</v>
      </c>
      <c r="D26" s="33">
        <v>124.46974155728935</v>
      </c>
      <c r="E26" s="33">
        <v>-9.3932138996859962</v>
      </c>
      <c r="F26" s="33">
        <v>0</v>
      </c>
      <c r="G26" s="33">
        <v>103.30543469106063</v>
      </c>
      <c r="H26" s="33">
        <v>8.5455071285363502</v>
      </c>
      <c r="I26" s="33">
        <v>102.45772791991098</v>
      </c>
      <c r="J26" s="33">
        <v>2.9718056751945667</v>
      </c>
      <c r="K26" s="33">
        <v>0</v>
      </c>
      <c r="L26" s="33">
        <v>2.9718056751945667</v>
      </c>
      <c r="M26" s="34">
        <v>22.488092834209539</v>
      </c>
      <c r="N26" s="33">
        <v>0</v>
      </c>
      <c r="O26" s="33">
        <v>22.488092834209539</v>
      </c>
      <c r="P26" s="33">
        <v>14.2</v>
      </c>
      <c r="Q26" s="35">
        <v>0</v>
      </c>
    </row>
    <row r="27" spans="1:17" x14ac:dyDescent="0.25">
      <c r="A27" s="88" t="s">
        <v>113</v>
      </c>
      <c r="B27" s="33" t="s">
        <v>108</v>
      </c>
      <c r="C27" s="33" t="s">
        <v>106</v>
      </c>
      <c r="D27" s="33">
        <v>124.46974155728935</v>
      </c>
      <c r="E27" s="33">
        <v>-9.3932138996859962</v>
      </c>
      <c r="F27" s="33">
        <v>77.823418167738851</v>
      </c>
      <c r="G27" s="33">
        <v>0</v>
      </c>
      <c r="H27" s="33">
        <v>8.5455071285363502</v>
      </c>
      <c r="I27" s="33">
        <v>76.97571139658919</v>
      </c>
      <c r="J27" s="33">
        <v>0</v>
      </c>
      <c r="K27" s="33">
        <v>4.6962800731844982</v>
      </c>
      <c r="L27" s="33">
        <v>4.6962800731844982</v>
      </c>
      <c r="M27" s="34">
        <v>22.488092834209539</v>
      </c>
      <c r="N27" s="33">
        <v>0</v>
      </c>
      <c r="O27" s="33">
        <v>22.488092834209539</v>
      </c>
      <c r="P27" s="33">
        <v>14.2</v>
      </c>
      <c r="Q27" s="35">
        <v>0</v>
      </c>
    </row>
    <row r="28" spans="1:17" x14ac:dyDescent="0.25">
      <c r="A28" s="88" t="s">
        <v>113</v>
      </c>
      <c r="B28" s="33" t="s">
        <v>108</v>
      </c>
      <c r="C28" s="33" t="s">
        <v>108</v>
      </c>
      <c r="D28" s="33">
        <v>124.46974155728935</v>
      </c>
      <c r="E28" s="33">
        <v>-9.3932138996859962</v>
      </c>
      <c r="F28" s="33">
        <v>0</v>
      </c>
      <c r="G28" s="33">
        <v>0</v>
      </c>
      <c r="H28" s="33">
        <v>8.5455071285363502</v>
      </c>
      <c r="I28" s="33">
        <v>-0.84770677114964599</v>
      </c>
      <c r="J28" s="33">
        <v>2.9718056751945667</v>
      </c>
      <c r="K28" s="33">
        <v>4.6962800731844982</v>
      </c>
      <c r="L28" s="33">
        <v>7.668085748379065</v>
      </c>
      <c r="M28" s="34">
        <v>22.488092834209539</v>
      </c>
      <c r="N28" s="33">
        <v>0</v>
      </c>
      <c r="O28" s="33">
        <v>22.488092834209539</v>
      </c>
      <c r="P28" s="33">
        <v>14.2</v>
      </c>
      <c r="Q28" s="35">
        <v>0</v>
      </c>
    </row>
    <row r="29" spans="1:17" ht="15.75" thickBot="1" x14ac:dyDescent="0.3">
      <c r="A29" s="89" t="s">
        <v>113</v>
      </c>
      <c r="B29" s="37" t="s">
        <v>109</v>
      </c>
      <c r="C29" s="37" t="s">
        <v>109</v>
      </c>
      <c r="D29" s="37">
        <v>124.46974155728935</v>
      </c>
      <c r="E29" s="37">
        <v>-9.3932138996859962</v>
      </c>
      <c r="F29" s="37">
        <v>73.932247259351911</v>
      </c>
      <c r="G29" s="37">
        <v>61.16881163773877</v>
      </c>
      <c r="H29" s="37">
        <v>8.5455071285363502</v>
      </c>
      <c r="I29" s="37">
        <v>134.25335212594103</v>
      </c>
      <c r="J29" s="37">
        <v>0.14859028375972813</v>
      </c>
      <c r="K29" s="37">
        <v>1.915537007209609</v>
      </c>
      <c r="L29" s="37">
        <v>2.0641272909693371</v>
      </c>
      <c r="M29" s="38">
        <v>22.488092834209539</v>
      </c>
      <c r="N29" s="37">
        <v>0</v>
      </c>
      <c r="O29" s="37">
        <v>22.488092834209539</v>
      </c>
      <c r="P29" s="37">
        <v>14.2</v>
      </c>
      <c r="Q29" s="39">
        <v>0</v>
      </c>
    </row>
    <row r="31" spans="1:17" ht="15.75" thickBot="1" x14ac:dyDescent="0.3">
      <c r="A31" s="27" t="s">
        <v>114</v>
      </c>
    </row>
    <row r="32" spans="1:17" ht="15.75" thickBot="1" x14ac:dyDescent="0.3">
      <c r="A32" s="28" t="s">
        <v>115</v>
      </c>
      <c r="B32" s="29" t="s">
        <v>116</v>
      </c>
      <c r="C32" s="29" t="s">
        <v>117</v>
      </c>
      <c r="D32" s="29" t="s">
        <v>31</v>
      </c>
      <c r="E32" s="29" t="s">
        <v>118</v>
      </c>
      <c r="F32" s="29" t="s">
        <v>119</v>
      </c>
      <c r="G32" s="30" t="s">
        <v>120</v>
      </c>
      <c r="H32" s="31" t="s">
        <v>121</v>
      </c>
    </row>
    <row r="33" spans="1:8" x14ac:dyDescent="0.25">
      <c r="A33" s="40" t="s">
        <v>122</v>
      </c>
      <c r="B33" s="41" t="s">
        <v>123</v>
      </c>
      <c r="C33" s="42">
        <v>77.866184049917464</v>
      </c>
      <c r="D33" s="41">
        <v>10</v>
      </c>
      <c r="E33" s="43">
        <v>26.576457847363201</v>
      </c>
      <c r="F33" s="43">
        <v>0</v>
      </c>
      <c r="G33" s="44">
        <v>15.474249374681134</v>
      </c>
      <c r="H33" s="45">
        <v>2.1478316655366032</v>
      </c>
    </row>
    <row r="34" spans="1:8" x14ac:dyDescent="0.25">
      <c r="A34" s="46" t="s">
        <v>124</v>
      </c>
      <c r="B34" s="12" t="s">
        <v>123</v>
      </c>
      <c r="C34" s="47">
        <v>106.65963212575653</v>
      </c>
      <c r="D34" s="12">
        <v>10</v>
      </c>
      <c r="E34" s="48">
        <v>26.576457847363201</v>
      </c>
      <c r="F34" s="48">
        <v>0</v>
      </c>
      <c r="G34" s="49">
        <v>21.035307743707182</v>
      </c>
      <c r="H34" s="50">
        <v>2.9420593561811752</v>
      </c>
    </row>
    <row r="35" spans="1:8" ht="15.75" thickBot="1" x14ac:dyDescent="0.3">
      <c r="A35" s="51" t="s">
        <v>125</v>
      </c>
      <c r="B35" s="52" t="s">
        <v>123</v>
      </c>
      <c r="C35" s="53">
        <v>132.24929925201619</v>
      </c>
      <c r="D35" s="52">
        <v>10</v>
      </c>
      <c r="E35" s="54">
        <v>26.576457847363201</v>
      </c>
      <c r="F35" s="54">
        <v>0</v>
      </c>
      <c r="G35" s="55">
        <v>25.725939585407392</v>
      </c>
      <c r="H35" s="56">
        <v>3.6479151526985318</v>
      </c>
    </row>
    <row r="36" spans="1:8" x14ac:dyDescent="0.25">
      <c r="A36" s="28" t="s">
        <v>126</v>
      </c>
      <c r="B36" s="29" t="s">
        <v>123</v>
      </c>
      <c r="C36" s="57">
        <v>73.972874847421579</v>
      </c>
      <c r="D36" s="29">
        <v>10</v>
      </c>
      <c r="E36" s="58">
        <v>26.576457847363201</v>
      </c>
      <c r="F36" s="58">
        <v>0</v>
      </c>
      <c r="G36" s="44">
        <v>14.700536905947077</v>
      </c>
      <c r="H36" s="59">
        <v>2.040440082259773</v>
      </c>
    </row>
    <row r="37" spans="1:8" x14ac:dyDescent="0.25">
      <c r="A37" s="32" t="s">
        <v>127</v>
      </c>
      <c r="B37" s="33" t="s">
        <v>123</v>
      </c>
      <c r="C37" s="60">
        <v>108.08176055409996</v>
      </c>
      <c r="D37" s="33">
        <v>10</v>
      </c>
      <c r="E37" s="61">
        <v>26.576457847363201</v>
      </c>
      <c r="F37" s="61">
        <v>0</v>
      </c>
      <c r="G37" s="49">
        <v>21.315778513623279</v>
      </c>
      <c r="H37" s="62">
        <v>2.9812868142635911</v>
      </c>
    </row>
    <row r="38" spans="1:8" ht="15.75" thickBot="1" x14ac:dyDescent="0.3">
      <c r="A38" s="36" t="s">
        <v>128</v>
      </c>
      <c r="B38" s="37" t="s">
        <v>123</v>
      </c>
      <c r="C38" s="63">
        <v>143.58495347361759</v>
      </c>
      <c r="D38" s="37">
        <v>10</v>
      </c>
      <c r="E38" s="64">
        <v>26.576457847363201</v>
      </c>
      <c r="F38" s="64">
        <v>0</v>
      </c>
      <c r="G38" s="55">
        <v>27.931020121299458</v>
      </c>
      <c r="H38" s="65">
        <v>3.9605935943584067</v>
      </c>
    </row>
    <row r="39" spans="1:8" x14ac:dyDescent="0.25">
      <c r="A39" s="28" t="s">
        <v>129</v>
      </c>
      <c r="B39" s="29" t="s">
        <v>123</v>
      </c>
      <c r="C39" s="57">
        <v>87.599457056157135</v>
      </c>
      <c r="D39" s="29">
        <v>10</v>
      </c>
      <c r="E39" s="58">
        <v>33.95880724940853</v>
      </c>
      <c r="F39" s="58">
        <v>0</v>
      </c>
      <c r="G39" s="44">
        <v>17.408530546516275</v>
      </c>
      <c r="H39" s="59">
        <v>2.4163106237286782</v>
      </c>
    </row>
    <row r="40" spans="1:8" x14ac:dyDescent="0.25">
      <c r="A40" s="32" t="s">
        <v>130</v>
      </c>
      <c r="B40" s="33" t="s">
        <v>123</v>
      </c>
      <c r="C40" s="60">
        <v>127.99155855090784</v>
      </c>
      <c r="D40" s="33">
        <v>10</v>
      </c>
      <c r="E40" s="61">
        <v>33.95880724940853</v>
      </c>
      <c r="F40" s="61">
        <v>0</v>
      </c>
      <c r="G40" s="49">
        <v>25.242369292448618</v>
      </c>
      <c r="H40" s="62">
        <v>3.5304712274174102</v>
      </c>
    </row>
    <row r="41" spans="1:8" ht="15.75" thickBot="1" x14ac:dyDescent="0.3">
      <c r="A41" s="36" t="s">
        <v>131</v>
      </c>
      <c r="B41" s="37" t="s">
        <v>123</v>
      </c>
      <c r="C41" s="63">
        <v>170.03481332402083</v>
      </c>
      <c r="D41" s="37">
        <v>10</v>
      </c>
      <c r="E41" s="64">
        <v>33.95880724940853</v>
      </c>
      <c r="F41" s="64">
        <v>0</v>
      </c>
      <c r="G41" s="55">
        <v>33.07620803838094</v>
      </c>
      <c r="H41" s="65">
        <v>4.6901766248981129</v>
      </c>
    </row>
    <row r="42" spans="1:8" x14ac:dyDescent="0.25">
      <c r="A42" s="28" t="s">
        <v>122</v>
      </c>
      <c r="B42" s="29" t="s">
        <v>132</v>
      </c>
      <c r="C42" s="57">
        <v>3.8958087044816923</v>
      </c>
      <c r="D42" s="29">
        <v>10</v>
      </c>
      <c r="E42" s="66">
        <v>0</v>
      </c>
      <c r="F42" s="29">
        <v>0</v>
      </c>
      <c r="G42" s="30">
        <v>0</v>
      </c>
      <c r="H42" s="59">
        <v>0</v>
      </c>
    </row>
    <row r="43" spans="1:8" x14ac:dyDescent="0.25">
      <c r="A43" s="32" t="s">
        <v>124</v>
      </c>
      <c r="B43" s="33" t="s">
        <v>132</v>
      </c>
      <c r="C43" s="60">
        <v>5.2958649576548051</v>
      </c>
      <c r="D43" s="33">
        <v>10</v>
      </c>
      <c r="E43" s="67">
        <v>0</v>
      </c>
      <c r="F43" s="33">
        <v>0</v>
      </c>
      <c r="G43" s="34">
        <v>0</v>
      </c>
      <c r="H43" s="62">
        <v>0</v>
      </c>
    </row>
    <row r="44" spans="1:8" ht="15.75" thickBot="1" x14ac:dyDescent="0.3">
      <c r="A44" s="36" t="s">
        <v>125</v>
      </c>
      <c r="B44" s="37" t="s">
        <v>132</v>
      </c>
      <c r="C44" s="63">
        <v>6.4767819712008183</v>
      </c>
      <c r="D44" s="37">
        <v>10</v>
      </c>
      <c r="E44" s="68">
        <v>0</v>
      </c>
      <c r="F44" s="37">
        <v>0</v>
      </c>
      <c r="G44" s="38">
        <v>0</v>
      </c>
      <c r="H44" s="65">
        <v>0</v>
      </c>
    </row>
    <row r="45" spans="1:8" x14ac:dyDescent="0.25">
      <c r="A45" s="28" t="s">
        <v>126</v>
      </c>
      <c r="B45" s="29" t="s">
        <v>132</v>
      </c>
      <c r="C45" s="57">
        <v>3.7010182692576077</v>
      </c>
      <c r="D45" s="29">
        <v>10</v>
      </c>
      <c r="E45" s="66">
        <v>0</v>
      </c>
      <c r="F45" s="29">
        <v>0</v>
      </c>
      <c r="G45" s="30">
        <v>0</v>
      </c>
      <c r="H45" s="59">
        <v>0</v>
      </c>
    </row>
    <row r="46" spans="1:8" x14ac:dyDescent="0.25">
      <c r="A46" s="32" t="s">
        <v>127</v>
      </c>
      <c r="B46" s="33" t="s">
        <v>132</v>
      </c>
      <c r="C46" s="60">
        <v>5.3664764904235351</v>
      </c>
      <c r="D46" s="33">
        <v>10</v>
      </c>
      <c r="E46" s="67">
        <v>0</v>
      </c>
      <c r="F46" s="33">
        <v>0</v>
      </c>
      <c r="G46" s="34">
        <v>0</v>
      </c>
      <c r="H46" s="62">
        <v>0</v>
      </c>
    </row>
    <row r="47" spans="1:8" ht="15.75" thickBot="1" x14ac:dyDescent="0.3">
      <c r="A47" s="36" t="s">
        <v>128</v>
      </c>
      <c r="B47" s="37" t="s">
        <v>132</v>
      </c>
      <c r="C47" s="63">
        <v>7.0319347115894608</v>
      </c>
      <c r="D47" s="37">
        <v>10</v>
      </c>
      <c r="E47" s="68">
        <v>0</v>
      </c>
      <c r="F47" s="37">
        <v>0</v>
      </c>
      <c r="G47" s="38">
        <v>0</v>
      </c>
      <c r="H47" s="65">
        <v>0</v>
      </c>
    </row>
    <row r="48" spans="1:8" x14ac:dyDescent="0.25">
      <c r="A48" s="32" t="s">
        <v>129</v>
      </c>
      <c r="B48" s="33" t="s">
        <v>132</v>
      </c>
      <c r="C48" s="60">
        <v>4.3827847925419041</v>
      </c>
      <c r="D48" s="33">
        <v>10</v>
      </c>
      <c r="E48" s="67">
        <v>0</v>
      </c>
      <c r="F48" s="33">
        <v>0</v>
      </c>
      <c r="G48" s="34">
        <v>0</v>
      </c>
      <c r="H48" s="62">
        <v>0</v>
      </c>
    </row>
    <row r="49" spans="1:16" x14ac:dyDescent="0.25">
      <c r="A49" s="32" t="s">
        <v>130</v>
      </c>
      <c r="B49" s="33" t="s">
        <v>132</v>
      </c>
      <c r="C49" s="60">
        <v>6.3550379491857658</v>
      </c>
      <c r="D49" s="33">
        <v>10</v>
      </c>
      <c r="E49" s="67">
        <v>0</v>
      </c>
      <c r="F49" s="33">
        <v>0</v>
      </c>
      <c r="G49" s="34">
        <v>0</v>
      </c>
      <c r="H49" s="62">
        <v>0</v>
      </c>
    </row>
    <row r="50" spans="1:16" ht="15.75" thickBot="1" x14ac:dyDescent="0.3">
      <c r="A50" s="36" t="s">
        <v>131</v>
      </c>
      <c r="B50" s="37" t="s">
        <v>132</v>
      </c>
      <c r="C50" s="63">
        <v>8.3272911058296248</v>
      </c>
      <c r="D50" s="37">
        <v>10</v>
      </c>
      <c r="E50" s="68">
        <v>0</v>
      </c>
      <c r="F50" s="37">
        <v>0</v>
      </c>
      <c r="G50" s="38">
        <v>0</v>
      </c>
      <c r="H50" s="65">
        <v>0</v>
      </c>
    </row>
    <row r="52" spans="1:16" ht="15.75" thickBot="1" x14ac:dyDescent="0.3">
      <c r="A52" s="27" t="s">
        <v>133</v>
      </c>
    </row>
    <row r="53" spans="1:16" x14ac:dyDescent="0.25">
      <c r="A53" s="28" t="s">
        <v>115</v>
      </c>
      <c r="B53" s="29" t="s">
        <v>134</v>
      </c>
      <c r="C53" s="29" t="s">
        <v>135</v>
      </c>
      <c r="D53" s="29" t="s">
        <v>136</v>
      </c>
      <c r="E53" s="29" t="s">
        <v>137</v>
      </c>
      <c r="F53" s="29" t="s">
        <v>138</v>
      </c>
      <c r="G53" s="29" t="s">
        <v>139</v>
      </c>
      <c r="H53" s="29" t="s">
        <v>140</v>
      </c>
      <c r="I53" s="29" t="s">
        <v>141</v>
      </c>
      <c r="J53" s="29" t="s">
        <v>142</v>
      </c>
      <c r="K53" s="29" t="s">
        <v>143</v>
      </c>
      <c r="L53" s="29" t="s">
        <v>144</v>
      </c>
      <c r="M53" s="29" t="s">
        <v>145</v>
      </c>
      <c r="N53" s="30" t="s">
        <v>146</v>
      </c>
      <c r="O53" s="29" t="s">
        <v>147</v>
      </c>
      <c r="P53" s="31" t="s">
        <v>148</v>
      </c>
    </row>
    <row r="54" spans="1:16" x14ac:dyDescent="0.25">
      <c r="A54" s="32" t="s">
        <v>149</v>
      </c>
      <c r="B54" s="33" t="s">
        <v>75</v>
      </c>
      <c r="C54" s="33" t="s">
        <v>150</v>
      </c>
      <c r="D54" s="33" t="s">
        <v>151</v>
      </c>
      <c r="E54" s="33" t="s">
        <v>152</v>
      </c>
      <c r="F54" s="33" t="s">
        <v>153</v>
      </c>
      <c r="G54" s="33" t="s">
        <v>154</v>
      </c>
      <c r="H54" s="33" t="s">
        <v>155</v>
      </c>
      <c r="I54" s="33" t="s">
        <v>156</v>
      </c>
      <c r="J54" s="33" t="s">
        <v>157</v>
      </c>
      <c r="K54" s="33" t="s">
        <v>158</v>
      </c>
      <c r="L54" s="33" t="s">
        <v>159</v>
      </c>
      <c r="M54" s="61">
        <v>3253.65</v>
      </c>
      <c r="N54" s="49">
        <v>-48.475000000000001</v>
      </c>
      <c r="O54" s="33">
        <v>15</v>
      </c>
      <c r="P54" s="35">
        <v>3605</v>
      </c>
    </row>
    <row r="55" spans="1:16" x14ac:dyDescent="0.25">
      <c r="A55" s="32" t="s">
        <v>160</v>
      </c>
      <c r="B55" s="33" t="s">
        <v>75</v>
      </c>
      <c r="C55" s="33" t="s">
        <v>150</v>
      </c>
      <c r="D55" s="33" t="s">
        <v>151</v>
      </c>
      <c r="E55" s="33" t="s">
        <v>152</v>
      </c>
      <c r="F55" s="33" t="s">
        <v>153</v>
      </c>
      <c r="G55" s="33" t="s">
        <v>154</v>
      </c>
      <c r="H55" s="33" t="s">
        <v>155</v>
      </c>
      <c r="I55" s="33" t="s">
        <v>156</v>
      </c>
      <c r="J55" s="33" t="s">
        <v>161</v>
      </c>
      <c r="K55" s="33" t="s">
        <v>158</v>
      </c>
      <c r="L55" s="33" t="s">
        <v>159</v>
      </c>
      <c r="M55" s="61">
        <v>3438.28</v>
      </c>
      <c r="N55" s="49">
        <v>-80.331000000000003</v>
      </c>
      <c r="O55" s="33">
        <v>15</v>
      </c>
      <c r="P55" s="35">
        <v>6098</v>
      </c>
    </row>
    <row r="56" spans="1:16" x14ac:dyDescent="0.25">
      <c r="A56" s="32" t="s">
        <v>162</v>
      </c>
      <c r="B56" s="33" t="s">
        <v>75</v>
      </c>
      <c r="C56" s="33" t="s">
        <v>150</v>
      </c>
      <c r="D56" s="33" t="s">
        <v>151</v>
      </c>
      <c r="E56" s="33" t="s">
        <v>152</v>
      </c>
      <c r="F56" s="33" t="s">
        <v>153</v>
      </c>
      <c r="G56" s="33" t="s">
        <v>154</v>
      </c>
      <c r="H56" s="33" t="s">
        <v>155</v>
      </c>
      <c r="I56" s="33" t="s">
        <v>156</v>
      </c>
      <c r="J56" s="33" t="s">
        <v>163</v>
      </c>
      <c r="K56" s="33" t="s">
        <v>158</v>
      </c>
      <c r="L56" s="33" t="s">
        <v>159</v>
      </c>
      <c r="M56" s="61">
        <v>3526.87</v>
      </c>
      <c r="N56" s="49">
        <v>-115.00700000000001</v>
      </c>
      <c r="O56" s="33">
        <v>15</v>
      </c>
      <c r="P56" s="35">
        <v>8591</v>
      </c>
    </row>
    <row r="57" spans="1:16" x14ac:dyDescent="0.25">
      <c r="A57" s="32" t="s">
        <v>164</v>
      </c>
      <c r="B57" s="33" t="s">
        <v>75</v>
      </c>
      <c r="C57" s="33" t="s">
        <v>150</v>
      </c>
      <c r="D57" s="33" t="s">
        <v>165</v>
      </c>
      <c r="E57" s="33" t="s">
        <v>152</v>
      </c>
      <c r="F57" s="33" t="s">
        <v>153</v>
      </c>
      <c r="G57" s="33" t="s">
        <v>154</v>
      </c>
      <c r="H57" s="33" t="s">
        <v>155</v>
      </c>
      <c r="I57" s="33" t="s">
        <v>166</v>
      </c>
      <c r="J57" s="33" t="s">
        <v>159</v>
      </c>
      <c r="K57" s="33" t="s">
        <v>167</v>
      </c>
      <c r="L57" s="33" t="s">
        <v>159</v>
      </c>
      <c r="M57" s="61">
        <v>89.5</v>
      </c>
      <c r="N57" s="49">
        <v>-1.0980000000000001</v>
      </c>
      <c r="O57" s="33">
        <v>15</v>
      </c>
      <c r="P57" s="35">
        <v>82</v>
      </c>
    </row>
    <row r="58" spans="1:16" x14ac:dyDescent="0.25">
      <c r="A58" s="32" t="s">
        <v>168</v>
      </c>
      <c r="B58" s="33" t="s">
        <v>75</v>
      </c>
      <c r="C58" s="33" t="s">
        <v>150</v>
      </c>
      <c r="D58" s="33" t="s">
        <v>151</v>
      </c>
      <c r="E58" s="33" t="s">
        <v>152</v>
      </c>
      <c r="F58" s="33" t="s">
        <v>153</v>
      </c>
      <c r="G58" s="33" t="s">
        <v>154</v>
      </c>
      <c r="H58" s="33" t="s">
        <v>169</v>
      </c>
      <c r="I58" s="33" t="s">
        <v>170</v>
      </c>
      <c r="J58" s="33" t="s">
        <v>157</v>
      </c>
      <c r="K58" s="33" t="s">
        <v>158</v>
      </c>
      <c r="L58" s="33" t="s">
        <v>159</v>
      </c>
      <c r="M58" s="61">
        <v>4041.71</v>
      </c>
      <c r="N58" s="49">
        <v>-48.475000000000001</v>
      </c>
      <c r="O58" s="33">
        <v>15</v>
      </c>
      <c r="P58" s="35">
        <v>3463</v>
      </c>
    </row>
    <row r="59" spans="1:16" x14ac:dyDescent="0.25">
      <c r="A59" s="32" t="s">
        <v>171</v>
      </c>
      <c r="B59" s="33" t="s">
        <v>75</v>
      </c>
      <c r="C59" s="33" t="s">
        <v>150</v>
      </c>
      <c r="D59" s="33" t="s">
        <v>151</v>
      </c>
      <c r="E59" s="33" t="s">
        <v>152</v>
      </c>
      <c r="F59" s="33" t="s">
        <v>153</v>
      </c>
      <c r="G59" s="33" t="s">
        <v>154</v>
      </c>
      <c r="H59" s="33" t="s">
        <v>169</v>
      </c>
      <c r="I59" s="33" t="s">
        <v>170</v>
      </c>
      <c r="J59" s="33" t="s">
        <v>161</v>
      </c>
      <c r="K59" s="33" t="s">
        <v>158</v>
      </c>
      <c r="L59" s="33" t="s">
        <v>159</v>
      </c>
      <c r="M59" s="61">
        <v>4429.84</v>
      </c>
      <c r="N59" s="49">
        <v>-80.331000000000003</v>
      </c>
      <c r="O59" s="33">
        <v>15</v>
      </c>
      <c r="P59" s="35">
        <v>5879</v>
      </c>
    </row>
    <row r="60" spans="1:16" x14ac:dyDescent="0.25">
      <c r="A60" s="32" t="s">
        <v>172</v>
      </c>
      <c r="B60" s="33" t="s">
        <v>75</v>
      </c>
      <c r="C60" s="33" t="s">
        <v>150</v>
      </c>
      <c r="D60" s="33" t="s">
        <v>151</v>
      </c>
      <c r="E60" s="33" t="s">
        <v>152</v>
      </c>
      <c r="F60" s="33" t="s">
        <v>153</v>
      </c>
      <c r="G60" s="33" t="s">
        <v>154</v>
      </c>
      <c r="H60" s="33" t="s">
        <v>169</v>
      </c>
      <c r="I60" s="33" t="s">
        <v>170</v>
      </c>
      <c r="J60" s="33" t="s">
        <v>163</v>
      </c>
      <c r="K60" s="33" t="s">
        <v>158</v>
      </c>
      <c r="L60" s="33" t="s">
        <v>159</v>
      </c>
      <c r="M60" s="61">
        <v>4606.09</v>
      </c>
      <c r="N60" s="49">
        <v>-115.00700000000001</v>
      </c>
      <c r="O60" s="33">
        <v>15</v>
      </c>
      <c r="P60" s="35">
        <v>8254</v>
      </c>
    </row>
    <row r="61" spans="1:16" x14ac:dyDescent="0.25">
      <c r="A61" s="32" t="s">
        <v>173</v>
      </c>
      <c r="B61" s="33" t="s">
        <v>75</v>
      </c>
      <c r="C61" s="33" t="s">
        <v>150</v>
      </c>
      <c r="D61" s="33" t="s">
        <v>165</v>
      </c>
      <c r="E61" s="33" t="s">
        <v>152</v>
      </c>
      <c r="F61" s="33" t="s">
        <v>153</v>
      </c>
      <c r="G61" s="33" t="s">
        <v>154</v>
      </c>
      <c r="H61" s="33" t="s">
        <v>169</v>
      </c>
      <c r="I61" s="33" t="s">
        <v>174</v>
      </c>
      <c r="J61" s="33" t="s">
        <v>159</v>
      </c>
      <c r="K61" s="33" t="s">
        <v>175</v>
      </c>
      <c r="L61" s="33" t="s">
        <v>159</v>
      </c>
      <c r="M61" s="61">
        <v>5377.54</v>
      </c>
      <c r="N61" s="49">
        <v>-7.3159999999999998</v>
      </c>
      <c r="O61" s="33">
        <v>15</v>
      </c>
      <c r="P61" s="35">
        <v>672</v>
      </c>
    </row>
    <row r="62" spans="1:16" x14ac:dyDescent="0.25">
      <c r="A62" s="32" t="s">
        <v>176</v>
      </c>
      <c r="B62" s="33" t="s">
        <v>75</v>
      </c>
      <c r="C62" s="33" t="s">
        <v>150</v>
      </c>
      <c r="D62" s="33" t="s">
        <v>165</v>
      </c>
      <c r="E62" s="33" t="s">
        <v>152</v>
      </c>
      <c r="F62" s="33" t="s">
        <v>177</v>
      </c>
      <c r="G62" s="33" t="s">
        <v>154</v>
      </c>
      <c r="H62" s="33" t="s">
        <v>169</v>
      </c>
      <c r="I62" s="33" t="s">
        <v>166</v>
      </c>
      <c r="J62" s="33" t="s">
        <v>159</v>
      </c>
      <c r="K62" s="33" t="s">
        <v>167</v>
      </c>
      <c r="L62" s="33" t="s">
        <v>159</v>
      </c>
      <c r="M62" s="61">
        <v>89.5</v>
      </c>
      <c r="N62" s="49">
        <v>-1.0980000000000001</v>
      </c>
      <c r="O62" s="33">
        <v>15</v>
      </c>
      <c r="P62" s="35">
        <v>82</v>
      </c>
    </row>
    <row r="63" spans="1:16" x14ac:dyDescent="0.25">
      <c r="A63" s="32" t="s">
        <v>178</v>
      </c>
      <c r="B63" s="33" t="s">
        <v>75</v>
      </c>
      <c r="C63" s="33" t="s">
        <v>150</v>
      </c>
      <c r="D63" s="33" t="s">
        <v>165</v>
      </c>
      <c r="E63" s="33" t="s">
        <v>152</v>
      </c>
      <c r="F63" s="33" t="s">
        <v>177</v>
      </c>
      <c r="G63" s="33" t="s">
        <v>154</v>
      </c>
      <c r="H63" s="33" t="s">
        <v>169</v>
      </c>
      <c r="I63" s="33" t="s">
        <v>174</v>
      </c>
      <c r="J63" s="33" t="s">
        <v>159</v>
      </c>
      <c r="K63" s="33" t="s">
        <v>175</v>
      </c>
      <c r="L63" s="33" t="s">
        <v>159</v>
      </c>
      <c r="M63" s="61">
        <v>5377.54</v>
      </c>
      <c r="N63" s="49">
        <v>-7.3159999999999998</v>
      </c>
      <c r="O63" s="33">
        <v>15</v>
      </c>
      <c r="P63" s="35">
        <v>672</v>
      </c>
    </row>
    <row r="64" spans="1:16" x14ac:dyDescent="0.25">
      <c r="A64" s="32" t="s">
        <v>179</v>
      </c>
      <c r="B64" s="33" t="s">
        <v>75</v>
      </c>
      <c r="C64" s="33" t="s">
        <v>150</v>
      </c>
      <c r="D64" s="33" t="s">
        <v>165</v>
      </c>
      <c r="E64" s="33" t="s">
        <v>152</v>
      </c>
      <c r="F64" s="33" t="s">
        <v>177</v>
      </c>
      <c r="G64" s="33" t="s">
        <v>154</v>
      </c>
      <c r="H64" s="33" t="s">
        <v>169</v>
      </c>
      <c r="I64" s="33" t="s">
        <v>174</v>
      </c>
      <c r="J64" s="33" t="s">
        <v>159</v>
      </c>
      <c r="K64" s="33" t="s">
        <v>175</v>
      </c>
      <c r="L64" s="33" t="s">
        <v>159</v>
      </c>
      <c r="M64" s="61">
        <v>5377.54</v>
      </c>
      <c r="N64" s="49">
        <v>-9.468</v>
      </c>
      <c r="O64" s="33">
        <v>15</v>
      </c>
      <c r="P64" s="35">
        <v>833</v>
      </c>
    </row>
    <row r="65" spans="1:16" x14ac:dyDescent="0.25">
      <c r="A65" s="32" t="s">
        <v>180</v>
      </c>
      <c r="B65" s="33" t="s">
        <v>75</v>
      </c>
      <c r="C65" s="33" t="s">
        <v>150</v>
      </c>
      <c r="D65" s="33" t="s">
        <v>181</v>
      </c>
      <c r="E65" s="33" t="s">
        <v>152</v>
      </c>
      <c r="F65" s="33" t="s">
        <v>153</v>
      </c>
      <c r="G65" s="33" t="s">
        <v>154</v>
      </c>
      <c r="H65" s="33" t="s">
        <v>169</v>
      </c>
      <c r="I65" s="33" t="s">
        <v>182</v>
      </c>
      <c r="J65" s="33" t="s">
        <v>183</v>
      </c>
      <c r="K65" s="33" t="s">
        <v>184</v>
      </c>
      <c r="L65" s="33" t="s">
        <v>185</v>
      </c>
      <c r="M65" s="61">
        <v>3553.36</v>
      </c>
      <c r="N65" s="49">
        <v>-35.539000000000001</v>
      </c>
      <c r="O65" s="33">
        <v>15</v>
      </c>
      <c r="P65" s="35">
        <v>2259</v>
      </c>
    </row>
    <row r="66" spans="1:16" x14ac:dyDescent="0.25">
      <c r="A66" s="32" t="s">
        <v>186</v>
      </c>
      <c r="B66" s="33" t="s">
        <v>75</v>
      </c>
      <c r="C66" s="33" t="s">
        <v>150</v>
      </c>
      <c r="D66" s="33" t="s">
        <v>181</v>
      </c>
      <c r="E66" s="33" t="s">
        <v>152</v>
      </c>
      <c r="F66" s="33" t="s">
        <v>153</v>
      </c>
      <c r="G66" s="33" t="s">
        <v>154</v>
      </c>
      <c r="H66" s="33" t="s">
        <v>169</v>
      </c>
      <c r="I66" s="33" t="s">
        <v>182</v>
      </c>
      <c r="J66" s="33" t="s">
        <v>187</v>
      </c>
      <c r="K66" s="33" t="s">
        <v>184</v>
      </c>
      <c r="L66" s="33" t="s">
        <v>185</v>
      </c>
      <c r="M66" s="61">
        <v>3553.36</v>
      </c>
      <c r="N66" s="49">
        <v>-35.539000000000001</v>
      </c>
      <c r="O66" s="33">
        <v>15</v>
      </c>
      <c r="P66" s="35">
        <v>2259</v>
      </c>
    </row>
    <row r="67" spans="1:16" x14ac:dyDescent="0.25">
      <c r="A67" s="32" t="s">
        <v>188</v>
      </c>
      <c r="B67" s="33" t="s">
        <v>75</v>
      </c>
      <c r="C67" s="33" t="s">
        <v>150</v>
      </c>
      <c r="D67" s="33" t="s">
        <v>181</v>
      </c>
      <c r="E67" s="33" t="s">
        <v>152</v>
      </c>
      <c r="F67" s="33" t="s">
        <v>153</v>
      </c>
      <c r="G67" s="33" t="s">
        <v>154</v>
      </c>
      <c r="H67" s="33" t="s">
        <v>169</v>
      </c>
      <c r="I67" s="33" t="s">
        <v>182</v>
      </c>
      <c r="J67" s="33" t="s">
        <v>189</v>
      </c>
      <c r="K67" s="33" t="s">
        <v>184</v>
      </c>
      <c r="L67" s="33" t="s">
        <v>185</v>
      </c>
      <c r="M67" s="61">
        <v>3553.36</v>
      </c>
      <c r="N67" s="49">
        <v>-35.539000000000001</v>
      </c>
      <c r="O67" s="33">
        <v>15</v>
      </c>
      <c r="P67" s="35">
        <v>2375</v>
      </c>
    </row>
    <row r="68" spans="1:16" ht="15.75" thickBot="1" x14ac:dyDescent="0.3">
      <c r="A68" s="36" t="s">
        <v>190</v>
      </c>
      <c r="B68" s="37" t="s">
        <v>75</v>
      </c>
      <c r="C68" s="37" t="s">
        <v>150</v>
      </c>
      <c r="D68" s="37" t="s">
        <v>181</v>
      </c>
      <c r="E68" s="37" t="s">
        <v>152</v>
      </c>
      <c r="F68" s="37" t="s">
        <v>153</v>
      </c>
      <c r="G68" s="37" t="s">
        <v>154</v>
      </c>
      <c r="H68" s="37" t="s">
        <v>169</v>
      </c>
      <c r="I68" s="37" t="s">
        <v>182</v>
      </c>
      <c r="J68" s="37" t="s">
        <v>191</v>
      </c>
      <c r="K68" s="37" t="s">
        <v>184</v>
      </c>
      <c r="L68" s="37" t="s">
        <v>185</v>
      </c>
      <c r="M68" s="64">
        <v>3553.36</v>
      </c>
      <c r="N68" s="55">
        <v>-35.539000000000001</v>
      </c>
      <c r="O68" s="37">
        <v>15</v>
      </c>
      <c r="P68" s="39">
        <v>2499</v>
      </c>
    </row>
    <row r="70" spans="1:16" ht="15.75" thickBot="1" x14ac:dyDescent="0.3">
      <c r="A70" s="27" t="s">
        <v>192</v>
      </c>
    </row>
    <row r="71" spans="1:16" x14ac:dyDescent="0.25">
      <c r="A71" s="28" t="s">
        <v>193</v>
      </c>
      <c r="B71" s="29" t="s">
        <v>136</v>
      </c>
      <c r="C71" s="29" t="s">
        <v>194</v>
      </c>
      <c r="D71" s="29" t="s">
        <v>137</v>
      </c>
      <c r="E71" s="29" t="s">
        <v>138</v>
      </c>
      <c r="F71" s="29" t="s">
        <v>195</v>
      </c>
      <c r="G71" s="29" t="s">
        <v>196</v>
      </c>
      <c r="H71" s="29" t="s">
        <v>197</v>
      </c>
      <c r="I71" s="29" t="s">
        <v>145</v>
      </c>
      <c r="J71" s="29" t="s">
        <v>146</v>
      </c>
      <c r="K71" s="30" t="s">
        <v>198</v>
      </c>
      <c r="L71" s="29" t="s">
        <v>147</v>
      </c>
      <c r="M71" s="29" t="s">
        <v>199</v>
      </c>
      <c r="N71" s="31" t="s">
        <v>200</v>
      </c>
    </row>
    <row r="72" spans="1:16" x14ac:dyDescent="0.25">
      <c r="A72" s="32" t="s">
        <v>201</v>
      </c>
      <c r="B72" s="33" t="s">
        <v>202</v>
      </c>
      <c r="C72" s="33" t="s">
        <v>203</v>
      </c>
      <c r="D72" s="33" t="s">
        <v>204</v>
      </c>
      <c r="E72" s="33" t="s">
        <v>205</v>
      </c>
      <c r="F72" s="33" t="s">
        <v>206</v>
      </c>
      <c r="G72" s="33" t="s">
        <v>207</v>
      </c>
      <c r="H72" s="33" t="s">
        <v>208</v>
      </c>
      <c r="I72" s="61">
        <v>1.104279304943808</v>
      </c>
      <c r="J72" s="33">
        <v>0</v>
      </c>
      <c r="K72" s="49">
        <v>-6.848646173164429</v>
      </c>
      <c r="L72" s="60">
        <v>7.7486613613783257</v>
      </c>
      <c r="M72" s="69">
        <v>19.843487129357882</v>
      </c>
      <c r="N72" s="70">
        <v>22.293213662687457</v>
      </c>
    </row>
    <row r="73" spans="1:16" x14ac:dyDescent="0.25">
      <c r="A73" s="32" t="s">
        <v>209</v>
      </c>
      <c r="B73" s="33" t="s">
        <v>202</v>
      </c>
      <c r="C73" s="33" t="s">
        <v>203</v>
      </c>
      <c r="D73" s="33" t="s">
        <v>204</v>
      </c>
      <c r="E73" s="33" t="s">
        <v>205</v>
      </c>
      <c r="F73" s="33" t="s">
        <v>206</v>
      </c>
      <c r="G73" s="33" t="s">
        <v>210</v>
      </c>
      <c r="H73" s="33" t="s">
        <v>208</v>
      </c>
      <c r="I73" s="61">
        <v>0</v>
      </c>
      <c r="J73" s="33">
        <v>0</v>
      </c>
      <c r="K73" s="49">
        <v>-20.851381794687516</v>
      </c>
      <c r="L73" s="60">
        <v>7.8211249476750613</v>
      </c>
      <c r="M73" s="69">
        <v>15.928797942433603</v>
      </c>
      <c r="N73" s="70">
        <v>18.443871301765224</v>
      </c>
    </row>
    <row r="74" spans="1:16" x14ac:dyDescent="0.25">
      <c r="A74" s="32" t="s">
        <v>211</v>
      </c>
      <c r="B74" s="33" t="s">
        <v>202</v>
      </c>
      <c r="C74" s="33" t="s">
        <v>203</v>
      </c>
      <c r="D74" s="33" t="s">
        <v>204</v>
      </c>
      <c r="E74" s="33" t="s">
        <v>205</v>
      </c>
      <c r="F74" s="33" t="s">
        <v>206</v>
      </c>
      <c r="G74" s="33" t="s">
        <v>212</v>
      </c>
      <c r="H74" s="33" t="s">
        <v>208</v>
      </c>
      <c r="I74" s="61">
        <v>0</v>
      </c>
      <c r="J74" s="33">
        <v>0</v>
      </c>
      <c r="K74" s="49">
        <v>-5.4883172344481466</v>
      </c>
      <c r="L74" s="60">
        <v>10.983113332531543</v>
      </c>
      <c r="M74" s="69">
        <v>1.7565767997361463</v>
      </c>
      <c r="N74" s="70">
        <v>1.6380827383751453</v>
      </c>
    </row>
    <row r="75" spans="1:16" x14ac:dyDescent="0.25">
      <c r="A75" s="32" t="s">
        <v>213</v>
      </c>
      <c r="B75" s="33" t="s">
        <v>202</v>
      </c>
      <c r="C75" s="33" t="s">
        <v>203</v>
      </c>
      <c r="D75" s="33" t="s">
        <v>204</v>
      </c>
      <c r="E75" s="33" t="s">
        <v>205</v>
      </c>
      <c r="F75" s="33" t="s">
        <v>214</v>
      </c>
      <c r="G75" s="33" t="s">
        <v>207</v>
      </c>
      <c r="H75" s="33" t="s">
        <v>208</v>
      </c>
      <c r="I75" s="61">
        <v>0.62465266888585269</v>
      </c>
      <c r="J75" s="33">
        <v>0</v>
      </c>
      <c r="K75" s="49">
        <v>-5.2550828100114817</v>
      </c>
      <c r="L75" s="60">
        <v>6.3896290649020964</v>
      </c>
      <c r="M75" s="69">
        <v>10.124731131260376</v>
      </c>
      <c r="N75" s="70">
        <v>10.071975590512817</v>
      </c>
    </row>
    <row r="76" spans="1:16" x14ac:dyDescent="0.25">
      <c r="A76" s="32" t="s">
        <v>215</v>
      </c>
      <c r="B76" s="33" t="s">
        <v>202</v>
      </c>
      <c r="C76" s="33" t="s">
        <v>203</v>
      </c>
      <c r="D76" s="33" t="s">
        <v>204</v>
      </c>
      <c r="E76" s="33" t="s">
        <v>205</v>
      </c>
      <c r="F76" s="33" t="s">
        <v>214</v>
      </c>
      <c r="G76" s="33" t="s">
        <v>210</v>
      </c>
      <c r="H76" s="33" t="s">
        <v>208</v>
      </c>
      <c r="I76" s="61">
        <v>0.80252557616155662</v>
      </c>
      <c r="J76" s="33">
        <v>0</v>
      </c>
      <c r="K76" s="49">
        <v>-5.2093689413063151</v>
      </c>
      <c r="L76" s="60">
        <v>5.9350986317982608</v>
      </c>
      <c r="M76" s="69">
        <v>17.729528655321978</v>
      </c>
      <c r="N76" s="70">
        <v>16.964593623583514</v>
      </c>
    </row>
    <row r="77" spans="1:16" x14ac:dyDescent="0.25">
      <c r="A77" s="32" t="s">
        <v>216</v>
      </c>
      <c r="B77" s="33" t="s">
        <v>202</v>
      </c>
      <c r="C77" s="33" t="s">
        <v>203</v>
      </c>
      <c r="D77" s="33" t="s">
        <v>204</v>
      </c>
      <c r="E77" s="33" t="s">
        <v>205</v>
      </c>
      <c r="F77" s="33" t="s">
        <v>214</v>
      </c>
      <c r="G77" s="33" t="s">
        <v>212</v>
      </c>
      <c r="H77" s="33" t="s">
        <v>208</v>
      </c>
      <c r="I77" s="61">
        <v>0.44080153378228437</v>
      </c>
      <c r="J77" s="33">
        <v>0</v>
      </c>
      <c r="K77" s="49">
        <v>-5.1987017601440142</v>
      </c>
      <c r="L77" s="60">
        <v>6.1701420003058676</v>
      </c>
      <c r="M77" s="69">
        <v>12.758343042263466</v>
      </c>
      <c r="N77" s="70">
        <v>9.9174313602587301</v>
      </c>
    </row>
    <row r="78" spans="1:16" x14ac:dyDescent="0.25">
      <c r="A78" s="32" t="s">
        <v>217</v>
      </c>
      <c r="B78" s="33" t="s">
        <v>202</v>
      </c>
      <c r="C78" s="33" t="s">
        <v>203</v>
      </c>
      <c r="D78" s="33" t="s">
        <v>204</v>
      </c>
      <c r="E78" s="33" t="s">
        <v>205</v>
      </c>
      <c r="F78" s="33" t="s">
        <v>218</v>
      </c>
      <c r="G78" s="33" t="s">
        <v>207</v>
      </c>
      <c r="H78" s="33" t="s">
        <v>208</v>
      </c>
      <c r="I78" s="61">
        <v>2.4862795266351312</v>
      </c>
      <c r="J78" s="33">
        <v>0</v>
      </c>
      <c r="K78" s="49">
        <v>-6.9198422337992556</v>
      </c>
      <c r="L78" s="60">
        <v>11.794953128104282</v>
      </c>
      <c r="M78" s="69">
        <v>10.614093633679014</v>
      </c>
      <c r="N78" s="70">
        <v>12.214326152922833</v>
      </c>
    </row>
    <row r="79" spans="1:16" x14ac:dyDescent="0.25">
      <c r="A79" s="32" t="s">
        <v>219</v>
      </c>
      <c r="B79" s="33" t="s">
        <v>202</v>
      </c>
      <c r="C79" s="33" t="s">
        <v>203</v>
      </c>
      <c r="D79" s="33" t="s">
        <v>204</v>
      </c>
      <c r="E79" s="33" t="s">
        <v>205</v>
      </c>
      <c r="F79" s="33" t="s">
        <v>218</v>
      </c>
      <c r="G79" s="33" t="s">
        <v>210</v>
      </c>
      <c r="H79" s="33" t="s">
        <v>208</v>
      </c>
      <c r="I79" s="61">
        <v>0</v>
      </c>
      <c r="J79" s="33">
        <v>0</v>
      </c>
      <c r="K79" s="49">
        <v>-7.91201853747169</v>
      </c>
      <c r="L79" s="60">
        <v>10.077886389104112</v>
      </c>
      <c r="M79" s="69">
        <v>1.2499120862123494</v>
      </c>
      <c r="N79" s="70">
        <v>1.0902612609273137</v>
      </c>
    </row>
    <row r="80" spans="1:16" x14ac:dyDescent="0.25">
      <c r="A80" s="32" t="s">
        <v>220</v>
      </c>
      <c r="B80" s="33" t="s">
        <v>202</v>
      </c>
      <c r="C80" s="33" t="s">
        <v>203</v>
      </c>
      <c r="D80" s="33" t="s">
        <v>204</v>
      </c>
      <c r="E80" s="33" t="s">
        <v>205</v>
      </c>
      <c r="F80" s="33" t="s">
        <v>218</v>
      </c>
      <c r="G80" s="33" t="s">
        <v>212</v>
      </c>
      <c r="H80" s="33" t="s">
        <v>208</v>
      </c>
      <c r="I80" s="61">
        <v>0.95427284547086533</v>
      </c>
      <c r="J80" s="33">
        <v>0</v>
      </c>
      <c r="K80" s="49">
        <v>-15.267756077251816</v>
      </c>
      <c r="L80" s="60">
        <v>7.5479322344858275</v>
      </c>
      <c r="M80" s="69">
        <v>21.545892184367478</v>
      </c>
      <c r="N80" s="70">
        <v>24.947875160846557</v>
      </c>
    </row>
    <row r="81" spans="1:14" x14ac:dyDescent="0.25">
      <c r="A81" s="32" t="s">
        <v>221</v>
      </c>
      <c r="B81" s="33" t="s">
        <v>202</v>
      </c>
      <c r="C81" s="33" t="s">
        <v>203</v>
      </c>
      <c r="D81" s="33" t="s">
        <v>204</v>
      </c>
      <c r="E81" s="33" t="s">
        <v>205</v>
      </c>
      <c r="F81" s="33" t="s">
        <v>222</v>
      </c>
      <c r="G81" s="33" t="s">
        <v>207</v>
      </c>
      <c r="H81" s="33" t="s">
        <v>208</v>
      </c>
      <c r="I81" s="61">
        <v>0.64335491844562598</v>
      </c>
      <c r="J81" s="33">
        <v>0</v>
      </c>
      <c r="K81" s="49">
        <v>-15.149361087197073</v>
      </c>
      <c r="L81" s="60">
        <v>5.2770212368531402</v>
      </c>
      <c r="M81" s="69">
        <v>28.317831713503335</v>
      </c>
      <c r="N81" s="70">
        <v>30.048748684303082</v>
      </c>
    </row>
    <row r="82" spans="1:14" x14ac:dyDescent="0.25">
      <c r="A82" s="32" t="s">
        <v>223</v>
      </c>
      <c r="B82" s="33" t="s">
        <v>202</v>
      </c>
      <c r="C82" s="33" t="s">
        <v>203</v>
      </c>
      <c r="D82" s="33" t="s">
        <v>204</v>
      </c>
      <c r="E82" s="33" t="s">
        <v>205</v>
      </c>
      <c r="F82" s="33" t="s">
        <v>222</v>
      </c>
      <c r="G82" s="33" t="s">
        <v>210</v>
      </c>
      <c r="H82" s="33" t="s">
        <v>208</v>
      </c>
      <c r="I82" s="61">
        <v>0.92472333972651999</v>
      </c>
      <c r="J82" s="33">
        <v>0</v>
      </c>
      <c r="K82" s="49">
        <v>-22.004688051468243</v>
      </c>
      <c r="L82" s="60">
        <v>4.6726772597972897</v>
      </c>
      <c r="M82" s="69">
        <v>33.633292708196905</v>
      </c>
      <c r="N82" s="70">
        <v>36.201312907404471</v>
      </c>
    </row>
    <row r="83" spans="1:14" x14ac:dyDescent="0.25">
      <c r="A83" s="32" t="s">
        <v>224</v>
      </c>
      <c r="B83" s="33" t="s">
        <v>202</v>
      </c>
      <c r="C83" s="33" t="s">
        <v>203</v>
      </c>
      <c r="D83" s="33" t="s">
        <v>204</v>
      </c>
      <c r="E83" s="33" t="s">
        <v>205</v>
      </c>
      <c r="F83" s="33" t="s">
        <v>222</v>
      </c>
      <c r="G83" s="33" t="s">
        <v>212</v>
      </c>
      <c r="H83" s="33" t="s">
        <v>208</v>
      </c>
      <c r="I83" s="61">
        <v>0</v>
      </c>
      <c r="J83" s="33">
        <v>0</v>
      </c>
      <c r="K83" s="49">
        <v>-3.9017295771336924</v>
      </c>
      <c r="L83" s="60">
        <v>4.3085124656752116</v>
      </c>
      <c r="M83" s="69">
        <v>12.569799989053895</v>
      </c>
      <c r="N83" s="70">
        <v>8.3810562764444132</v>
      </c>
    </row>
    <row r="84" spans="1:14" x14ac:dyDescent="0.25">
      <c r="A84" s="32" t="s">
        <v>225</v>
      </c>
      <c r="B84" s="33" t="s">
        <v>226</v>
      </c>
      <c r="C84" s="33" t="s">
        <v>203</v>
      </c>
      <c r="D84" s="33" t="s">
        <v>204</v>
      </c>
      <c r="E84" s="33" t="s">
        <v>205</v>
      </c>
      <c r="F84" s="33" t="s">
        <v>206</v>
      </c>
      <c r="G84" s="33" t="s">
        <v>207</v>
      </c>
      <c r="H84" s="33" t="s">
        <v>208</v>
      </c>
      <c r="I84" s="61">
        <v>5.4393331274210057</v>
      </c>
      <c r="J84" s="33">
        <v>0</v>
      </c>
      <c r="K84" s="49">
        <v>-10.611177815673159</v>
      </c>
      <c r="L84" s="60">
        <v>12</v>
      </c>
      <c r="M84" s="69">
        <v>27.236687359862117</v>
      </c>
      <c r="N84" s="70">
        <v>26.383344393621815</v>
      </c>
    </row>
    <row r="85" spans="1:14" x14ac:dyDescent="0.25">
      <c r="A85" s="32" t="s">
        <v>227</v>
      </c>
      <c r="B85" s="33" t="s">
        <v>226</v>
      </c>
      <c r="C85" s="33" t="s">
        <v>203</v>
      </c>
      <c r="D85" s="33" t="s">
        <v>204</v>
      </c>
      <c r="E85" s="33" t="s">
        <v>205</v>
      </c>
      <c r="F85" s="33" t="s">
        <v>206</v>
      </c>
      <c r="G85" s="33" t="s">
        <v>210</v>
      </c>
      <c r="H85" s="33" t="s">
        <v>208</v>
      </c>
      <c r="I85" s="61">
        <v>5.414457029374109E-2</v>
      </c>
      <c r="J85" s="33">
        <v>0</v>
      </c>
      <c r="K85" s="49">
        <v>-22.120553884719815</v>
      </c>
      <c r="L85" s="60">
        <v>12</v>
      </c>
      <c r="M85" s="69">
        <v>23.001087007942537</v>
      </c>
      <c r="N85" s="70">
        <v>23.001087007942537</v>
      </c>
    </row>
    <row r="86" spans="1:14" x14ac:dyDescent="0.25">
      <c r="A86" s="32" t="s">
        <v>228</v>
      </c>
      <c r="B86" s="33" t="s">
        <v>226</v>
      </c>
      <c r="C86" s="33" t="s">
        <v>203</v>
      </c>
      <c r="D86" s="33" t="s">
        <v>204</v>
      </c>
      <c r="E86" s="33" t="s">
        <v>205</v>
      </c>
      <c r="F86" s="33" t="s">
        <v>206</v>
      </c>
      <c r="G86" s="33" t="s">
        <v>212</v>
      </c>
      <c r="H86" s="33" t="s">
        <v>208</v>
      </c>
      <c r="I86" s="61">
        <v>0.41414457029374141</v>
      </c>
      <c r="J86" s="33">
        <v>0</v>
      </c>
      <c r="K86" s="49">
        <v>-6.4857779980241173</v>
      </c>
      <c r="L86" s="60">
        <v>12</v>
      </c>
      <c r="M86" s="69">
        <v>4.3362206451627454</v>
      </c>
      <c r="N86" s="70">
        <v>3.8153676281913156</v>
      </c>
    </row>
    <row r="87" spans="1:14" x14ac:dyDescent="0.25">
      <c r="A87" s="32" t="s">
        <v>229</v>
      </c>
      <c r="B87" s="33" t="s">
        <v>226</v>
      </c>
      <c r="C87" s="33" t="s">
        <v>203</v>
      </c>
      <c r="D87" s="33" t="s">
        <v>204</v>
      </c>
      <c r="E87" s="33" t="s">
        <v>205</v>
      </c>
      <c r="F87" s="33" t="s">
        <v>214</v>
      </c>
      <c r="G87" s="33" t="s">
        <v>207</v>
      </c>
      <c r="H87" s="33" t="s">
        <v>208</v>
      </c>
      <c r="I87" s="61">
        <v>2.3071596161114374</v>
      </c>
      <c r="J87" s="33">
        <v>0</v>
      </c>
      <c r="K87" s="49">
        <v>-7.5999340371158972</v>
      </c>
      <c r="L87" s="60">
        <v>12</v>
      </c>
      <c r="M87" s="69">
        <v>15.19502725710106</v>
      </c>
      <c r="N87" s="70">
        <v>13.141975666137418</v>
      </c>
    </row>
    <row r="88" spans="1:14" x14ac:dyDescent="0.25">
      <c r="A88" s="32" t="s">
        <v>230</v>
      </c>
      <c r="B88" s="33" t="s">
        <v>226</v>
      </c>
      <c r="C88" s="33" t="s">
        <v>203</v>
      </c>
      <c r="D88" s="33" t="s">
        <v>204</v>
      </c>
      <c r="E88" s="33" t="s">
        <v>205</v>
      </c>
      <c r="F88" s="33" t="s">
        <v>214</v>
      </c>
      <c r="G88" s="33" t="s">
        <v>210</v>
      </c>
      <c r="H88" s="33" t="s">
        <v>208</v>
      </c>
      <c r="I88" s="61">
        <v>6.7042810500368919</v>
      </c>
      <c r="J88" s="33">
        <v>0</v>
      </c>
      <c r="K88" s="49">
        <v>-9.0750593042929815</v>
      </c>
      <c r="L88" s="60">
        <v>12</v>
      </c>
      <c r="M88" s="69">
        <v>26.528477417444723</v>
      </c>
      <c r="N88" s="70">
        <v>22.1066608298974</v>
      </c>
    </row>
    <row r="89" spans="1:14" x14ac:dyDescent="0.25">
      <c r="A89" s="32" t="s">
        <v>231</v>
      </c>
      <c r="B89" s="33" t="s">
        <v>226</v>
      </c>
      <c r="C89" s="33" t="s">
        <v>203</v>
      </c>
      <c r="D89" s="33" t="s">
        <v>204</v>
      </c>
      <c r="E89" s="33" t="s">
        <v>205</v>
      </c>
      <c r="F89" s="33" t="s">
        <v>214</v>
      </c>
      <c r="G89" s="33" t="s">
        <v>212</v>
      </c>
      <c r="H89" s="33" t="s">
        <v>208</v>
      </c>
      <c r="I89" s="61">
        <v>6.0438337216717404</v>
      </c>
      <c r="J89" s="33">
        <v>0</v>
      </c>
      <c r="K89" s="49">
        <v>-9.7516449167231478</v>
      </c>
      <c r="L89" s="60">
        <v>12</v>
      </c>
      <c r="M89" s="69">
        <v>23.165655422727809</v>
      </c>
      <c r="N89" s="70">
        <v>17.168755976324356</v>
      </c>
    </row>
    <row r="90" spans="1:14" x14ac:dyDescent="0.25">
      <c r="A90" s="32" t="s">
        <v>232</v>
      </c>
      <c r="B90" s="33" t="s">
        <v>226</v>
      </c>
      <c r="C90" s="33" t="s">
        <v>203</v>
      </c>
      <c r="D90" s="33" t="s">
        <v>204</v>
      </c>
      <c r="E90" s="33" t="s">
        <v>205</v>
      </c>
      <c r="F90" s="33" t="s">
        <v>218</v>
      </c>
      <c r="G90" s="33" t="s">
        <v>207</v>
      </c>
      <c r="H90" s="33" t="s">
        <v>208</v>
      </c>
      <c r="I90" s="61">
        <v>3.9153714405973519</v>
      </c>
      <c r="J90" s="33">
        <v>0</v>
      </c>
      <c r="K90" s="49">
        <v>-8.2105665943646304</v>
      </c>
      <c r="L90" s="60">
        <v>12</v>
      </c>
      <c r="M90" s="69">
        <v>13.968825305446195</v>
      </c>
      <c r="N90" s="70">
        <v>13.869250302994359</v>
      </c>
    </row>
    <row r="91" spans="1:14" x14ac:dyDescent="0.25">
      <c r="A91" s="32" t="s">
        <v>233</v>
      </c>
      <c r="B91" s="33" t="s">
        <v>226</v>
      </c>
      <c r="C91" s="33" t="s">
        <v>203</v>
      </c>
      <c r="D91" s="33" t="s">
        <v>204</v>
      </c>
      <c r="E91" s="33" t="s">
        <v>205</v>
      </c>
      <c r="F91" s="33" t="s">
        <v>218</v>
      </c>
      <c r="G91" s="33" t="s">
        <v>210</v>
      </c>
      <c r="H91" s="33" t="s">
        <v>208</v>
      </c>
      <c r="I91" s="61">
        <v>2.106689317798712</v>
      </c>
      <c r="J91" s="33">
        <v>0</v>
      </c>
      <c r="K91" s="49">
        <v>-10.687219246847548</v>
      </c>
      <c r="L91" s="60">
        <v>12</v>
      </c>
      <c r="M91" s="69">
        <v>2.3432217355775102</v>
      </c>
      <c r="N91" s="70">
        <v>1.8734778339810609</v>
      </c>
    </row>
    <row r="92" spans="1:14" x14ac:dyDescent="0.25">
      <c r="A92" s="32" t="s">
        <v>234</v>
      </c>
      <c r="B92" s="33" t="s">
        <v>226</v>
      </c>
      <c r="C92" s="33" t="s">
        <v>203</v>
      </c>
      <c r="D92" s="33" t="s">
        <v>204</v>
      </c>
      <c r="E92" s="33" t="s">
        <v>205</v>
      </c>
      <c r="F92" s="33" t="s">
        <v>218</v>
      </c>
      <c r="G92" s="33" t="s">
        <v>212</v>
      </c>
      <c r="H92" s="33" t="s">
        <v>208</v>
      </c>
      <c r="I92" s="61">
        <v>4.233731024829698</v>
      </c>
      <c r="J92" s="33">
        <v>0</v>
      </c>
      <c r="K92" s="49">
        <v>-18.25722762324348</v>
      </c>
      <c r="L92" s="60">
        <v>12</v>
      </c>
      <c r="M92" s="69">
        <v>34.786003369661223</v>
      </c>
      <c r="N92" s="70">
        <v>34.786003369661223</v>
      </c>
    </row>
    <row r="93" spans="1:14" x14ac:dyDescent="0.25">
      <c r="A93" s="32" t="s">
        <v>235</v>
      </c>
      <c r="B93" s="33" t="s">
        <v>226</v>
      </c>
      <c r="C93" s="33" t="s">
        <v>203</v>
      </c>
      <c r="D93" s="33" t="s">
        <v>204</v>
      </c>
      <c r="E93" s="33" t="s">
        <v>205</v>
      </c>
      <c r="F93" s="33" t="s">
        <v>222</v>
      </c>
      <c r="G93" s="33" t="s">
        <v>207</v>
      </c>
      <c r="H93" s="33" t="s">
        <v>208</v>
      </c>
      <c r="I93" s="61">
        <v>2.5753961643444376</v>
      </c>
      <c r="J93" s="33">
        <v>0</v>
      </c>
      <c r="K93" s="49">
        <v>-32.526268701070656</v>
      </c>
      <c r="L93" s="60">
        <v>11.999999999999998</v>
      </c>
      <c r="M93" s="69">
        <v>40.705929934468784</v>
      </c>
      <c r="N93" s="70">
        <v>37.287854884939257</v>
      </c>
    </row>
    <row r="94" spans="1:14" s="3" customFormat="1" x14ac:dyDescent="0.25">
      <c r="A94" s="98" t="s">
        <v>236</v>
      </c>
      <c r="B94" s="34" t="s">
        <v>226</v>
      </c>
      <c r="C94" s="34" t="s">
        <v>203</v>
      </c>
      <c r="D94" s="34" t="s">
        <v>204</v>
      </c>
      <c r="E94" s="34" t="s">
        <v>205</v>
      </c>
      <c r="F94" s="34" t="s">
        <v>222</v>
      </c>
      <c r="G94" s="34" t="s">
        <v>210</v>
      </c>
      <c r="H94" s="34" t="s">
        <v>208</v>
      </c>
      <c r="I94" s="49">
        <v>5.9661133295088051</v>
      </c>
      <c r="J94" s="34">
        <v>0</v>
      </c>
      <c r="K94" s="49">
        <v>-49.922094173854887</v>
      </c>
      <c r="L94" s="99">
        <v>12</v>
      </c>
      <c r="M94" s="100">
        <v>51.666887561760205</v>
      </c>
      <c r="N94" s="101">
        <v>48.244901635656035</v>
      </c>
    </row>
    <row r="95" spans="1:14" x14ac:dyDescent="0.25">
      <c r="A95" s="32" t="s">
        <v>237</v>
      </c>
      <c r="B95" s="33" t="s">
        <v>226</v>
      </c>
      <c r="C95" s="33" t="s">
        <v>203</v>
      </c>
      <c r="D95" s="33" t="s">
        <v>204</v>
      </c>
      <c r="E95" s="33" t="s">
        <v>205</v>
      </c>
      <c r="F95" s="33" t="s">
        <v>222</v>
      </c>
      <c r="G95" s="33" t="s">
        <v>212</v>
      </c>
      <c r="H95" s="33" t="s">
        <v>208</v>
      </c>
      <c r="I95" s="61">
        <v>7.7335349494586705</v>
      </c>
      <c r="J95" s="33">
        <v>0</v>
      </c>
      <c r="K95" s="49">
        <v>-10.858961391398287</v>
      </c>
      <c r="L95" s="60">
        <v>12</v>
      </c>
      <c r="M95" s="69">
        <v>24.34664680721766</v>
      </c>
      <c r="N95" s="70">
        <v>16.750986061889609</v>
      </c>
    </row>
    <row r="96" spans="1:14" x14ac:dyDescent="0.25">
      <c r="A96" s="32" t="s">
        <v>238</v>
      </c>
      <c r="B96" s="33" t="s">
        <v>202</v>
      </c>
      <c r="C96" s="33" t="s">
        <v>203</v>
      </c>
      <c r="D96" s="33" t="s">
        <v>75</v>
      </c>
      <c r="E96" s="33" t="s">
        <v>205</v>
      </c>
      <c r="F96" s="33" t="s">
        <v>206</v>
      </c>
      <c r="G96" s="33" t="s">
        <v>207</v>
      </c>
      <c r="H96" s="33" t="s">
        <v>239</v>
      </c>
      <c r="I96" s="61">
        <v>1.9056345145744309</v>
      </c>
      <c r="J96" s="33">
        <v>0</v>
      </c>
      <c r="K96" s="49">
        <v>-6.848646173164429</v>
      </c>
      <c r="L96" s="60">
        <v>7.7486613613783257</v>
      </c>
      <c r="M96" s="69">
        <v>19.843487129357882</v>
      </c>
      <c r="N96" s="70">
        <v>22.293213662687457</v>
      </c>
    </row>
    <row r="97" spans="1:14" x14ac:dyDescent="0.25">
      <c r="A97" s="32" t="s">
        <v>240</v>
      </c>
      <c r="B97" s="33" t="s">
        <v>202</v>
      </c>
      <c r="C97" s="33" t="s">
        <v>203</v>
      </c>
      <c r="D97" s="33" t="s">
        <v>75</v>
      </c>
      <c r="E97" s="33" t="s">
        <v>205</v>
      </c>
      <c r="F97" s="33" t="s">
        <v>206</v>
      </c>
      <c r="G97" s="33" t="s">
        <v>210</v>
      </c>
      <c r="H97" s="33" t="s">
        <v>239</v>
      </c>
      <c r="I97" s="61">
        <v>0</v>
      </c>
      <c r="J97" s="33">
        <v>0</v>
      </c>
      <c r="K97" s="49">
        <v>-20.851381794687516</v>
      </c>
      <c r="L97" s="60">
        <v>7.8211249476750613</v>
      </c>
      <c r="M97" s="69">
        <v>15.928797942433603</v>
      </c>
      <c r="N97" s="70">
        <v>18.443871301765224</v>
      </c>
    </row>
    <row r="98" spans="1:14" x14ac:dyDescent="0.25">
      <c r="A98" s="32" t="s">
        <v>241</v>
      </c>
      <c r="B98" s="33" t="s">
        <v>202</v>
      </c>
      <c r="C98" s="33" t="s">
        <v>203</v>
      </c>
      <c r="D98" s="33" t="s">
        <v>75</v>
      </c>
      <c r="E98" s="33" t="s">
        <v>205</v>
      </c>
      <c r="F98" s="33" t="s">
        <v>206</v>
      </c>
      <c r="G98" s="33" t="s">
        <v>212</v>
      </c>
      <c r="H98" s="33" t="s">
        <v>239</v>
      </c>
      <c r="I98" s="61">
        <v>0</v>
      </c>
      <c r="J98" s="33">
        <v>0</v>
      </c>
      <c r="K98" s="49">
        <v>-5.4883172344481466</v>
      </c>
      <c r="L98" s="60">
        <v>10.983113332531543</v>
      </c>
      <c r="M98" s="69">
        <v>1.7565767997361463</v>
      </c>
      <c r="N98" s="70">
        <v>1.6380827383751453</v>
      </c>
    </row>
    <row r="99" spans="1:14" x14ac:dyDescent="0.25">
      <c r="A99" s="32" t="s">
        <v>242</v>
      </c>
      <c r="B99" s="33" t="s">
        <v>202</v>
      </c>
      <c r="C99" s="33" t="s">
        <v>203</v>
      </c>
      <c r="D99" s="33" t="s">
        <v>75</v>
      </c>
      <c r="E99" s="33" t="s">
        <v>205</v>
      </c>
      <c r="F99" s="33" t="s">
        <v>214</v>
      </c>
      <c r="G99" s="33" t="s">
        <v>207</v>
      </c>
      <c r="H99" s="33" t="s">
        <v>239</v>
      </c>
      <c r="I99" s="61">
        <v>1.3863276975909309</v>
      </c>
      <c r="J99" s="33">
        <v>0</v>
      </c>
      <c r="K99" s="49">
        <v>-5.6123058019090184</v>
      </c>
      <c r="L99" s="60">
        <v>8.4833887807419046</v>
      </c>
      <c r="M99" s="69">
        <v>7.6900520790060645</v>
      </c>
      <c r="N99" s="70">
        <v>7.6586305636484164</v>
      </c>
    </row>
    <row r="100" spans="1:14" x14ac:dyDescent="0.25">
      <c r="A100" s="32" t="s">
        <v>243</v>
      </c>
      <c r="B100" s="33" t="s">
        <v>202</v>
      </c>
      <c r="C100" s="33" t="s">
        <v>203</v>
      </c>
      <c r="D100" s="33" t="s">
        <v>75</v>
      </c>
      <c r="E100" s="33" t="s">
        <v>205</v>
      </c>
      <c r="F100" s="33" t="s">
        <v>214</v>
      </c>
      <c r="G100" s="33" t="s">
        <v>210</v>
      </c>
      <c r="H100" s="33" t="s">
        <v>239</v>
      </c>
      <c r="I100" s="61">
        <v>1.3326912125764629</v>
      </c>
      <c r="J100" s="33">
        <v>0</v>
      </c>
      <c r="K100" s="49">
        <v>-5.1996523813765609</v>
      </c>
      <c r="L100" s="60">
        <v>7.4159061658001111</v>
      </c>
      <c r="M100" s="69">
        <v>15.066307604382466</v>
      </c>
      <c r="N100" s="70">
        <v>14.655543499866161</v>
      </c>
    </row>
    <row r="101" spans="1:14" x14ac:dyDescent="0.25">
      <c r="A101" s="32" t="s">
        <v>244</v>
      </c>
      <c r="B101" s="33" t="s">
        <v>202</v>
      </c>
      <c r="C101" s="33" t="s">
        <v>203</v>
      </c>
      <c r="D101" s="33" t="s">
        <v>75</v>
      </c>
      <c r="E101" s="33" t="s">
        <v>205</v>
      </c>
      <c r="F101" s="33" t="s">
        <v>214</v>
      </c>
      <c r="G101" s="33" t="s">
        <v>212</v>
      </c>
      <c r="H101" s="33" t="s">
        <v>239</v>
      </c>
      <c r="I101" s="61">
        <v>0.53185090840134486</v>
      </c>
      <c r="J101" s="33">
        <v>0</v>
      </c>
      <c r="K101" s="49">
        <v>-5.4446456981532085</v>
      </c>
      <c r="L101" s="60">
        <v>7.5387920061363687</v>
      </c>
      <c r="M101" s="69">
        <v>11.664161034789657</v>
      </c>
      <c r="N101" s="70">
        <v>9.1867185228301693</v>
      </c>
    </row>
    <row r="102" spans="1:14" x14ac:dyDescent="0.25">
      <c r="A102" s="32" t="s">
        <v>245</v>
      </c>
      <c r="B102" s="33" t="s">
        <v>202</v>
      </c>
      <c r="C102" s="33" t="s">
        <v>203</v>
      </c>
      <c r="D102" s="33" t="s">
        <v>75</v>
      </c>
      <c r="E102" s="33" t="s">
        <v>205</v>
      </c>
      <c r="F102" s="33" t="s">
        <v>218</v>
      </c>
      <c r="G102" s="33" t="s">
        <v>207</v>
      </c>
      <c r="H102" s="33" t="s">
        <v>239</v>
      </c>
      <c r="I102" s="61">
        <v>2.2487213027450581</v>
      </c>
      <c r="J102" s="33">
        <v>0</v>
      </c>
      <c r="K102" s="49">
        <v>-6.9198422337992556</v>
      </c>
      <c r="L102" s="60">
        <v>11.794953128104282</v>
      </c>
      <c r="M102" s="69">
        <v>10.614093633679014</v>
      </c>
      <c r="N102" s="70">
        <v>12.214326152922833</v>
      </c>
    </row>
    <row r="103" spans="1:14" x14ac:dyDescent="0.25">
      <c r="A103" s="32" t="s">
        <v>246</v>
      </c>
      <c r="B103" s="33" t="s">
        <v>202</v>
      </c>
      <c r="C103" s="33" t="s">
        <v>203</v>
      </c>
      <c r="D103" s="33" t="s">
        <v>75</v>
      </c>
      <c r="E103" s="33" t="s">
        <v>205</v>
      </c>
      <c r="F103" s="33" t="s">
        <v>218</v>
      </c>
      <c r="G103" s="33" t="s">
        <v>210</v>
      </c>
      <c r="H103" s="33" t="s">
        <v>239</v>
      </c>
      <c r="I103" s="61">
        <v>0</v>
      </c>
      <c r="J103" s="33">
        <v>0</v>
      </c>
      <c r="K103" s="49">
        <v>-7.91201853747169</v>
      </c>
      <c r="L103" s="60">
        <v>10.077886389104112</v>
      </c>
      <c r="M103" s="69">
        <v>1.2499120862123494</v>
      </c>
      <c r="N103" s="70">
        <v>1.0902612609273137</v>
      </c>
    </row>
    <row r="104" spans="1:14" x14ac:dyDescent="0.25">
      <c r="A104" s="32" t="s">
        <v>247</v>
      </c>
      <c r="B104" s="33" t="s">
        <v>202</v>
      </c>
      <c r="C104" s="33" t="s">
        <v>203</v>
      </c>
      <c r="D104" s="33" t="s">
        <v>75</v>
      </c>
      <c r="E104" s="33" t="s">
        <v>205</v>
      </c>
      <c r="F104" s="33" t="s">
        <v>218</v>
      </c>
      <c r="G104" s="33" t="s">
        <v>212</v>
      </c>
      <c r="H104" s="33" t="s">
        <v>239</v>
      </c>
      <c r="I104" s="61">
        <v>0.64467857654570793</v>
      </c>
      <c r="J104" s="33">
        <v>0</v>
      </c>
      <c r="K104" s="49">
        <v>-15.267756077251816</v>
      </c>
      <c r="L104" s="60">
        <v>7.5479322344858275</v>
      </c>
      <c r="M104" s="69">
        <v>21.545892184367478</v>
      </c>
      <c r="N104" s="70">
        <v>24.947875160846557</v>
      </c>
    </row>
    <row r="105" spans="1:14" x14ac:dyDescent="0.25">
      <c r="A105" s="32" t="s">
        <v>248</v>
      </c>
      <c r="B105" s="33" t="s">
        <v>202</v>
      </c>
      <c r="C105" s="33" t="s">
        <v>203</v>
      </c>
      <c r="D105" s="33" t="s">
        <v>75</v>
      </c>
      <c r="E105" s="33" t="s">
        <v>205</v>
      </c>
      <c r="F105" s="33" t="s">
        <v>222</v>
      </c>
      <c r="G105" s="33" t="s">
        <v>207</v>
      </c>
      <c r="H105" s="33" t="s">
        <v>239</v>
      </c>
      <c r="I105" s="61">
        <v>8.4601271050911253E-2</v>
      </c>
      <c r="J105" s="33">
        <v>0</v>
      </c>
      <c r="K105" s="49">
        <v>-17.937475335334941</v>
      </c>
      <c r="L105" s="60">
        <v>6.494819915341985</v>
      </c>
      <c r="M105" s="69">
        <v>23.005417279204025</v>
      </c>
      <c r="N105" s="70">
        <v>24.411750648541112</v>
      </c>
    </row>
    <row r="106" spans="1:14" x14ac:dyDescent="0.25">
      <c r="A106" s="32" t="s">
        <v>249</v>
      </c>
      <c r="B106" s="33" t="s">
        <v>202</v>
      </c>
      <c r="C106" s="33" t="s">
        <v>203</v>
      </c>
      <c r="D106" s="33" t="s">
        <v>75</v>
      </c>
      <c r="E106" s="33" t="s">
        <v>205</v>
      </c>
      <c r="F106" s="33" t="s">
        <v>222</v>
      </c>
      <c r="G106" s="33" t="s">
        <v>210</v>
      </c>
      <c r="H106" s="33" t="s">
        <v>239</v>
      </c>
      <c r="I106" s="61">
        <v>0</v>
      </c>
      <c r="J106" s="33">
        <v>0</v>
      </c>
      <c r="K106" s="49">
        <v>-26.12347634424793</v>
      </c>
      <c r="L106" s="60">
        <v>5.5185475638507882</v>
      </c>
      <c r="M106" s="69">
        <v>28.478058799231359</v>
      </c>
      <c r="N106" s="70">
        <v>30.652458756593361</v>
      </c>
    </row>
    <row r="107" spans="1:14" x14ac:dyDescent="0.25">
      <c r="A107" s="32" t="s">
        <v>250</v>
      </c>
      <c r="B107" s="33" t="s">
        <v>202</v>
      </c>
      <c r="C107" s="33" t="s">
        <v>203</v>
      </c>
      <c r="D107" s="33" t="s">
        <v>75</v>
      </c>
      <c r="E107" s="33" t="s">
        <v>205</v>
      </c>
      <c r="F107" s="33" t="s">
        <v>222</v>
      </c>
      <c r="G107" s="33" t="s">
        <v>212</v>
      </c>
      <c r="H107" s="33" t="s">
        <v>239</v>
      </c>
      <c r="I107" s="61">
        <v>0.13737457097564265</v>
      </c>
      <c r="J107" s="33">
        <v>0</v>
      </c>
      <c r="K107" s="49">
        <v>-4.2487039495141312</v>
      </c>
      <c r="L107" s="60">
        <v>4.9675732201664324</v>
      </c>
      <c r="M107" s="69">
        <v>10.902132196869436</v>
      </c>
      <c r="N107" s="70">
        <v>7.2691199187550994</v>
      </c>
    </row>
    <row r="108" spans="1:14" x14ac:dyDescent="0.25">
      <c r="A108" s="32" t="s">
        <v>251</v>
      </c>
      <c r="B108" s="33" t="s">
        <v>226</v>
      </c>
      <c r="C108" s="33" t="s">
        <v>203</v>
      </c>
      <c r="D108" s="33" t="s">
        <v>75</v>
      </c>
      <c r="E108" s="33" t="s">
        <v>205</v>
      </c>
      <c r="F108" s="33" t="s">
        <v>206</v>
      </c>
      <c r="G108" s="33" t="s">
        <v>207</v>
      </c>
      <c r="H108" s="33" t="s">
        <v>239</v>
      </c>
      <c r="I108" s="61">
        <v>7.4393331274210057</v>
      </c>
      <c r="J108" s="33">
        <v>0</v>
      </c>
      <c r="K108" s="49">
        <v>-10.611177815673159</v>
      </c>
      <c r="L108" s="60">
        <v>12</v>
      </c>
      <c r="M108" s="69">
        <v>27.236687359862117</v>
      </c>
      <c r="N108" s="70">
        <v>26.383344393621815</v>
      </c>
    </row>
    <row r="109" spans="1:14" x14ac:dyDescent="0.25">
      <c r="A109" s="32" t="s">
        <v>252</v>
      </c>
      <c r="B109" s="33" t="s">
        <v>226</v>
      </c>
      <c r="C109" s="33" t="s">
        <v>203</v>
      </c>
      <c r="D109" s="33" t="s">
        <v>75</v>
      </c>
      <c r="E109" s="33" t="s">
        <v>205</v>
      </c>
      <c r="F109" s="33" t="s">
        <v>206</v>
      </c>
      <c r="G109" s="33" t="s">
        <v>210</v>
      </c>
      <c r="H109" s="33" t="s">
        <v>239</v>
      </c>
      <c r="I109" s="61">
        <v>2.0541445702937411</v>
      </c>
      <c r="J109" s="33">
        <v>0</v>
      </c>
      <c r="K109" s="49">
        <v>-22.120553884719815</v>
      </c>
      <c r="L109" s="60">
        <v>12</v>
      </c>
      <c r="M109" s="69">
        <v>23.001087007942537</v>
      </c>
      <c r="N109" s="70">
        <v>23.001087007942537</v>
      </c>
    </row>
    <row r="110" spans="1:14" x14ac:dyDescent="0.25">
      <c r="A110" s="32" t="s">
        <v>253</v>
      </c>
      <c r="B110" s="33" t="s">
        <v>226</v>
      </c>
      <c r="C110" s="33" t="s">
        <v>203</v>
      </c>
      <c r="D110" s="33" t="s">
        <v>75</v>
      </c>
      <c r="E110" s="33" t="s">
        <v>205</v>
      </c>
      <c r="F110" s="33" t="s">
        <v>206</v>
      </c>
      <c r="G110" s="33" t="s">
        <v>212</v>
      </c>
      <c r="H110" s="33" t="s">
        <v>239</v>
      </c>
      <c r="I110" s="61">
        <v>2.4141445702937414</v>
      </c>
      <c r="J110" s="33">
        <v>0</v>
      </c>
      <c r="K110" s="49">
        <v>-6.4857779980241173</v>
      </c>
      <c r="L110" s="60">
        <v>12</v>
      </c>
      <c r="M110" s="69">
        <v>4.3362206451627454</v>
      </c>
      <c r="N110" s="70">
        <v>3.8153676281913156</v>
      </c>
    </row>
    <row r="111" spans="1:14" x14ac:dyDescent="0.25">
      <c r="A111" s="32" t="s">
        <v>254</v>
      </c>
      <c r="B111" s="33" t="s">
        <v>226</v>
      </c>
      <c r="C111" s="33" t="s">
        <v>203</v>
      </c>
      <c r="D111" s="33" t="s">
        <v>75</v>
      </c>
      <c r="E111" s="33" t="s">
        <v>205</v>
      </c>
      <c r="F111" s="33" t="s">
        <v>214</v>
      </c>
      <c r="G111" s="33" t="s">
        <v>207</v>
      </c>
      <c r="H111" s="33" t="s">
        <v>239</v>
      </c>
      <c r="I111" s="61">
        <v>4.3066456780551867</v>
      </c>
      <c r="J111" s="33">
        <v>0</v>
      </c>
      <c r="K111" s="49">
        <v>-7.0249132057445802</v>
      </c>
      <c r="L111" s="60">
        <v>12</v>
      </c>
      <c r="M111" s="69">
        <v>11.529508629681489</v>
      </c>
      <c r="N111" s="70">
        <v>9.9809356131863716</v>
      </c>
    </row>
    <row r="112" spans="1:14" x14ac:dyDescent="0.25">
      <c r="A112" s="32" t="s">
        <v>255</v>
      </c>
      <c r="B112" s="33" t="s">
        <v>226</v>
      </c>
      <c r="C112" s="33" t="s">
        <v>203</v>
      </c>
      <c r="D112" s="33" t="s">
        <v>75</v>
      </c>
      <c r="E112" s="33" t="s">
        <v>205</v>
      </c>
      <c r="F112" s="33" t="s">
        <v>214</v>
      </c>
      <c r="G112" s="33" t="s">
        <v>210</v>
      </c>
      <c r="H112" s="33" t="s">
        <v>239</v>
      </c>
      <c r="I112" s="61">
        <v>8.7042810500368919</v>
      </c>
      <c r="J112" s="33">
        <v>0</v>
      </c>
      <c r="K112" s="49">
        <v>-8.1532119256357465</v>
      </c>
      <c r="L112" s="60">
        <v>12</v>
      </c>
      <c r="M112" s="69">
        <v>22.382528127594092</v>
      </c>
      <c r="N112" s="70">
        <v>18.921684092722234</v>
      </c>
    </row>
    <row r="113" spans="1:14" x14ac:dyDescent="0.25">
      <c r="A113" s="32" t="s">
        <v>256</v>
      </c>
      <c r="B113" s="33" t="s">
        <v>226</v>
      </c>
      <c r="C113" s="33" t="s">
        <v>203</v>
      </c>
      <c r="D113" s="33" t="s">
        <v>75</v>
      </c>
      <c r="E113" s="33" t="s">
        <v>205</v>
      </c>
      <c r="F113" s="33" t="s">
        <v>214</v>
      </c>
      <c r="G113" s="33" t="s">
        <v>212</v>
      </c>
      <c r="H113" s="33" t="s">
        <v>239</v>
      </c>
      <c r="I113" s="61">
        <v>8.0438337216717404</v>
      </c>
      <c r="J113" s="33">
        <v>0</v>
      </c>
      <c r="K113" s="49">
        <v>-8.7291659735987199</v>
      </c>
      <c r="L113" s="60">
        <v>12</v>
      </c>
      <c r="M113" s="69">
        <v>20.681556674029174</v>
      </c>
      <c r="N113" s="70">
        <v>15.344478694955725</v>
      </c>
    </row>
    <row r="114" spans="1:14" x14ac:dyDescent="0.25">
      <c r="A114" s="32" t="s">
        <v>257</v>
      </c>
      <c r="B114" s="33" t="s">
        <v>226</v>
      </c>
      <c r="C114" s="33" t="s">
        <v>203</v>
      </c>
      <c r="D114" s="33" t="s">
        <v>75</v>
      </c>
      <c r="E114" s="33" t="s">
        <v>205</v>
      </c>
      <c r="F114" s="33" t="s">
        <v>218</v>
      </c>
      <c r="G114" s="33" t="s">
        <v>207</v>
      </c>
      <c r="H114" s="33" t="s">
        <v>239</v>
      </c>
      <c r="I114" s="61">
        <v>5.9153714405973519</v>
      </c>
      <c r="J114" s="33">
        <v>0</v>
      </c>
      <c r="K114" s="49">
        <v>-8.2105665943646304</v>
      </c>
      <c r="L114" s="60">
        <v>12</v>
      </c>
      <c r="M114" s="69">
        <v>13.968825305446195</v>
      </c>
      <c r="N114" s="70">
        <v>13.869250302994359</v>
      </c>
    </row>
    <row r="115" spans="1:14" x14ac:dyDescent="0.25">
      <c r="A115" s="32" t="s">
        <v>258</v>
      </c>
      <c r="B115" s="33" t="s">
        <v>226</v>
      </c>
      <c r="C115" s="33" t="s">
        <v>203</v>
      </c>
      <c r="D115" s="33" t="s">
        <v>75</v>
      </c>
      <c r="E115" s="33" t="s">
        <v>205</v>
      </c>
      <c r="F115" s="33" t="s">
        <v>218</v>
      </c>
      <c r="G115" s="33" t="s">
        <v>210</v>
      </c>
      <c r="H115" s="33" t="s">
        <v>239</v>
      </c>
      <c r="I115" s="61">
        <v>4.106689317798712</v>
      </c>
      <c r="J115" s="33">
        <v>0</v>
      </c>
      <c r="K115" s="49">
        <v>-10.687219246847548</v>
      </c>
      <c r="L115" s="60">
        <v>12</v>
      </c>
      <c r="M115" s="69">
        <v>2.3432217355775102</v>
      </c>
      <c r="N115" s="70">
        <v>1.8734778339810609</v>
      </c>
    </row>
    <row r="116" spans="1:14" x14ac:dyDescent="0.25">
      <c r="A116" s="32" t="s">
        <v>259</v>
      </c>
      <c r="B116" s="33" t="s">
        <v>226</v>
      </c>
      <c r="C116" s="33" t="s">
        <v>203</v>
      </c>
      <c r="D116" s="33" t="s">
        <v>75</v>
      </c>
      <c r="E116" s="33" t="s">
        <v>205</v>
      </c>
      <c r="F116" s="33" t="s">
        <v>218</v>
      </c>
      <c r="G116" s="33" t="s">
        <v>212</v>
      </c>
      <c r="H116" s="33" t="s">
        <v>239</v>
      </c>
      <c r="I116" s="61">
        <v>6.233731024829698</v>
      </c>
      <c r="J116" s="33">
        <v>0</v>
      </c>
      <c r="K116" s="49">
        <v>-18.25722762324348</v>
      </c>
      <c r="L116" s="60">
        <v>12</v>
      </c>
      <c r="M116" s="69">
        <v>34.786003369661223</v>
      </c>
      <c r="N116" s="70">
        <v>34.786003369661223</v>
      </c>
    </row>
    <row r="117" spans="1:14" x14ac:dyDescent="0.25">
      <c r="A117" s="32" t="s">
        <v>260</v>
      </c>
      <c r="B117" s="33" t="s">
        <v>226</v>
      </c>
      <c r="C117" s="33" t="s">
        <v>203</v>
      </c>
      <c r="D117" s="33" t="s">
        <v>75</v>
      </c>
      <c r="E117" s="33" t="s">
        <v>205</v>
      </c>
      <c r="F117" s="33" t="s">
        <v>222</v>
      </c>
      <c r="G117" s="33" t="s">
        <v>207</v>
      </c>
      <c r="H117" s="33" t="s">
        <v>239</v>
      </c>
      <c r="I117" s="61">
        <v>4.5753961643444381</v>
      </c>
      <c r="J117" s="33">
        <v>0</v>
      </c>
      <c r="K117" s="49">
        <v>-31.924083108442883</v>
      </c>
      <c r="L117" s="60">
        <v>11.999999999999998</v>
      </c>
      <c r="M117" s="69">
        <v>33.069478660032779</v>
      </c>
      <c r="N117" s="70">
        <v>30.292802005519139</v>
      </c>
    </row>
    <row r="118" spans="1:14" x14ac:dyDescent="0.25">
      <c r="A118" s="32" t="s">
        <v>261</v>
      </c>
      <c r="B118" s="33" t="s">
        <v>226</v>
      </c>
      <c r="C118" s="33" t="s">
        <v>203</v>
      </c>
      <c r="D118" s="33" t="s">
        <v>75</v>
      </c>
      <c r="E118" s="33" t="s">
        <v>205</v>
      </c>
      <c r="F118" s="33" t="s">
        <v>222</v>
      </c>
      <c r="G118" s="33" t="s">
        <v>210</v>
      </c>
      <c r="H118" s="33" t="s">
        <v>239</v>
      </c>
      <c r="I118" s="61">
        <v>7.9661133295088051</v>
      </c>
      <c r="J118" s="33">
        <v>0</v>
      </c>
      <c r="K118" s="49">
        <v>-48.526132041114195</v>
      </c>
      <c r="L118" s="60">
        <v>12</v>
      </c>
      <c r="M118" s="69">
        <v>43.747505625534195</v>
      </c>
      <c r="N118" s="70">
        <v>40.850033847815965</v>
      </c>
    </row>
    <row r="119" spans="1:14" x14ac:dyDescent="0.25">
      <c r="A119" s="32" t="s">
        <v>262</v>
      </c>
      <c r="B119" s="33" t="s">
        <v>226</v>
      </c>
      <c r="C119" s="33" t="s">
        <v>203</v>
      </c>
      <c r="D119" s="33" t="s">
        <v>75</v>
      </c>
      <c r="E119" s="33" t="s">
        <v>205</v>
      </c>
      <c r="F119" s="33" t="s">
        <v>222</v>
      </c>
      <c r="G119" s="33" t="s">
        <v>212</v>
      </c>
      <c r="H119" s="33" t="s">
        <v>239</v>
      </c>
      <c r="I119" s="61">
        <v>9.7335349494586705</v>
      </c>
      <c r="J119" s="33">
        <v>0</v>
      </c>
      <c r="K119" s="49">
        <v>-9.6491275430230239</v>
      </c>
      <c r="L119" s="60">
        <v>12</v>
      </c>
      <c r="M119" s="69">
        <v>21.116514365695533</v>
      </c>
      <c r="N119" s="70">
        <v>14.528589526776029</v>
      </c>
    </row>
    <row r="120" spans="1:14" x14ac:dyDescent="0.25">
      <c r="A120" s="32" t="s">
        <v>263</v>
      </c>
      <c r="B120" s="33" t="s">
        <v>202</v>
      </c>
      <c r="C120" s="33" t="s">
        <v>203</v>
      </c>
      <c r="D120" s="33" t="s">
        <v>75</v>
      </c>
      <c r="E120" s="33" t="s">
        <v>205</v>
      </c>
      <c r="F120" s="33" t="s">
        <v>206</v>
      </c>
      <c r="G120" s="33" t="s">
        <v>207</v>
      </c>
      <c r="H120" s="33" t="s">
        <v>264</v>
      </c>
      <c r="I120" s="61">
        <v>1.9056345145744309</v>
      </c>
      <c r="J120" s="33">
        <v>0</v>
      </c>
      <c r="K120" s="49">
        <v>-6.848646173164429</v>
      </c>
      <c r="L120" s="60">
        <v>7.7486613613783257</v>
      </c>
      <c r="M120" s="69">
        <v>19.843487129357882</v>
      </c>
      <c r="N120" s="70">
        <v>22.293213662687457</v>
      </c>
    </row>
    <row r="121" spans="1:14" x14ac:dyDescent="0.25">
      <c r="A121" s="32" t="s">
        <v>265</v>
      </c>
      <c r="B121" s="33" t="s">
        <v>202</v>
      </c>
      <c r="C121" s="33" t="s">
        <v>203</v>
      </c>
      <c r="D121" s="33" t="s">
        <v>75</v>
      </c>
      <c r="E121" s="33" t="s">
        <v>205</v>
      </c>
      <c r="F121" s="33" t="s">
        <v>206</v>
      </c>
      <c r="G121" s="33" t="s">
        <v>210</v>
      </c>
      <c r="H121" s="33" t="s">
        <v>264</v>
      </c>
      <c r="I121" s="61">
        <v>0</v>
      </c>
      <c r="J121" s="33">
        <v>0</v>
      </c>
      <c r="K121" s="49">
        <v>-20.851381794687516</v>
      </c>
      <c r="L121" s="60">
        <v>7.8211249476750613</v>
      </c>
      <c r="M121" s="69">
        <v>15.928797942433603</v>
      </c>
      <c r="N121" s="70">
        <v>18.443871301765224</v>
      </c>
    </row>
    <row r="122" spans="1:14" x14ac:dyDescent="0.25">
      <c r="A122" s="32" t="s">
        <v>266</v>
      </c>
      <c r="B122" s="33" t="s">
        <v>202</v>
      </c>
      <c r="C122" s="33" t="s">
        <v>203</v>
      </c>
      <c r="D122" s="33" t="s">
        <v>75</v>
      </c>
      <c r="E122" s="33" t="s">
        <v>205</v>
      </c>
      <c r="F122" s="33" t="s">
        <v>206</v>
      </c>
      <c r="G122" s="33" t="s">
        <v>212</v>
      </c>
      <c r="H122" s="33" t="s">
        <v>264</v>
      </c>
      <c r="I122" s="61">
        <v>0</v>
      </c>
      <c r="J122" s="33">
        <v>0</v>
      </c>
      <c r="K122" s="49">
        <v>-5.4883172344481466</v>
      </c>
      <c r="L122" s="60">
        <v>10.983113332531543</v>
      </c>
      <c r="M122" s="69">
        <v>1.7565767997361463</v>
      </c>
      <c r="N122" s="70">
        <v>1.6380827383751453</v>
      </c>
    </row>
    <row r="123" spans="1:14" x14ac:dyDescent="0.25">
      <c r="A123" s="32" t="s">
        <v>267</v>
      </c>
      <c r="B123" s="33" t="s">
        <v>202</v>
      </c>
      <c r="C123" s="33" t="s">
        <v>203</v>
      </c>
      <c r="D123" s="33" t="s">
        <v>75</v>
      </c>
      <c r="E123" s="33" t="s">
        <v>205</v>
      </c>
      <c r="F123" s="33" t="s">
        <v>214</v>
      </c>
      <c r="G123" s="33" t="s">
        <v>207</v>
      </c>
      <c r="H123" s="33" t="s">
        <v>264</v>
      </c>
      <c r="I123" s="61">
        <v>1.3863276975909309</v>
      </c>
      <c r="J123" s="33">
        <v>0</v>
      </c>
      <c r="K123" s="49">
        <v>-5.6123058019090184</v>
      </c>
      <c r="L123" s="60">
        <v>8.4833887807419046</v>
      </c>
      <c r="M123" s="69">
        <v>7.6900520790060645</v>
      </c>
      <c r="N123" s="70">
        <v>7.6586305636484164</v>
      </c>
    </row>
    <row r="124" spans="1:14" x14ac:dyDescent="0.25">
      <c r="A124" s="32" t="s">
        <v>268</v>
      </c>
      <c r="B124" s="33" t="s">
        <v>202</v>
      </c>
      <c r="C124" s="33" t="s">
        <v>203</v>
      </c>
      <c r="D124" s="33" t="s">
        <v>75</v>
      </c>
      <c r="E124" s="33" t="s">
        <v>205</v>
      </c>
      <c r="F124" s="33" t="s">
        <v>214</v>
      </c>
      <c r="G124" s="33" t="s">
        <v>210</v>
      </c>
      <c r="H124" s="33" t="s">
        <v>264</v>
      </c>
      <c r="I124" s="61">
        <v>1.3326912125764629</v>
      </c>
      <c r="J124" s="33">
        <v>0</v>
      </c>
      <c r="K124" s="49">
        <v>-5.1996523813765609</v>
      </c>
      <c r="L124" s="60">
        <v>7.4159061658001111</v>
      </c>
      <c r="M124" s="69">
        <v>15.066307604382466</v>
      </c>
      <c r="N124" s="70">
        <v>14.655543499866161</v>
      </c>
    </row>
    <row r="125" spans="1:14" x14ac:dyDescent="0.25">
      <c r="A125" s="32" t="s">
        <v>269</v>
      </c>
      <c r="B125" s="33" t="s">
        <v>202</v>
      </c>
      <c r="C125" s="33" t="s">
        <v>203</v>
      </c>
      <c r="D125" s="33" t="s">
        <v>75</v>
      </c>
      <c r="E125" s="33" t="s">
        <v>205</v>
      </c>
      <c r="F125" s="33" t="s">
        <v>214</v>
      </c>
      <c r="G125" s="33" t="s">
        <v>212</v>
      </c>
      <c r="H125" s="33" t="s">
        <v>264</v>
      </c>
      <c r="I125" s="61">
        <v>0.53185090840134486</v>
      </c>
      <c r="J125" s="33">
        <v>0</v>
      </c>
      <c r="K125" s="49">
        <v>-5.4446456981532085</v>
      </c>
      <c r="L125" s="60">
        <v>7.5387920061363687</v>
      </c>
      <c r="M125" s="69">
        <v>11.664161034789657</v>
      </c>
      <c r="N125" s="70">
        <v>9.1867185228301693</v>
      </c>
    </row>
    <row r="126" spans="1:14" x14ac:dyDescent="0.25">
      <c r="A126" s="32" t="s">
        <v>270</v>
      </c>
      <c r="B126" s="33" t="s">
        <v>202</v>
      </c>
      <c r="C126" s="33" t="s">
        <v>203</v>
      </c>
      <c r="D126" s="33" t="s">
        <v>75</v>
      </c>
      <c r="E126" s="33" t="s">
        <v>205</v>
      </c>
      <c r="F126" s="33" t="s">
        <v>218</v>
      </c>
      <c r="G126" s="33" t="s">
        <v>207</v>
      </c>
      <c r="H126" s="33" t="s">
        <v>264</v>
      </c>
      <c r="I126" s="61">
        <v>2.2487213027450581</v>
      </c>
      <c r="J126" s="33">
        <v>0</v>
      </c>
      <c r="K126" s="49">
        <v>-6.9198422337992556</v>
      </c>
      <c r="L126" s="60">
        <v>11.794953128104282</v>
      </c>
      <c r="M126" s="69">
        <v>10.614093633679014</v>
      </c>
      <c r="N126" s="70">
        <v>12.214326152922833</v>
      </c>
    </row>
    <row r="127" spans="1:14" x14ac:dyDescent="0.25">
      <c r="A127" s="32" t="s">
        <v>271</v>
      </c>
      <c r="B127" s="33" t="s">
        <v>202</v>
      </c>
      <c r="C127" s="33" t="s">
        <v>203</v>
      </c>
      <c r="D127" s="33" t="s">
        <v>75</v>
      </c>
      <c r="E127" s="33" t="s">
        <v>205</v>
      </c>
      <c r="F127" s="33" t="s">
        <v>218</v>
      </c>
      <c r="G127" s="33" t="s">
        <v>210</v>
      </c>
      <c r="H127" s="33" t="s">
        <v>264</v>
      </c>
      <c r="I127" s="61">
        <v>0</v>
      </c>
      <c r="J127" s="33">
        <v>0</v>
      </c>
      <c r="K127" s="49">
        <v>-7.91201853747169</v>
      </c>
      <c r="L127" s="60">
        <v>10.077886389104112</v>
      </c>
      <c r="M127" s="69">
        <v>1.2499120862123494</v>
      </c>
      <c r="N127" s="70">
        <v>1.0902612609273137</v>
      </c>
    </row>
    <row r="128" spans="1:14" x14ac:dyDescent="0.25">
      <c r="A128" s="32" t="s">
        <v>272</v>
      </c>
      <c r="B128" s="33" t="s">
        <v>202</v>
      </c>
      <c r="C128" s="33" t="s">
        <v>203</v>
      </c>
      <c r="D128" s="33" t="s">
        <v>75</v>
      </c>
      <c r="E128" s="33" t="s">
        <v>205</v>
      </c>
      <c r="F128" s="33" t="s">
        <v>218</v>
      </c>
      <c r="G128" s="33" t="s">
        <v>212</v>
      </c>
      <c r="H128" s="33" t="s">
        <v>264</v>
      </c>
      <c r="I128" s="61">
        <v>0.64467857654570793</v>
      </c>
      <c r="J128" s="33">
        <v>0</v>
      </c>
      <c r="K128" s="49">
        <v>-15.267756077251816</v>
      </c>
      <c r="L128" s="60">
        <v>7.5479322344858275</v>
      </c>
      <c r="M128" s="69">
        <v>21.545892184367478</v>
      </c>
      <c r="N128" s="70">
        <v>24.947875160846557</v>
      </c>
    </row>
    <row r="129" spans="1:14" x14ac:dyDescent="0.25">
      <c r="A129" s="32" t="s">
        <v>273</v>
      </c>
      <c r="B129" s="33" t="s">
        <v>202</v>
      </c>
      <c r="C129" s="33" t="s">
        <v>203</v>
      </c>
      <c r="D129" s="33" t="s">
        <v>75</v>
      </c>
      <c r="E129" s="33" t="s">
        <v>205</v>
      </c>
      <c r="F129" s="33" t="s">
        <v>222</v>
      </c>
      <c r="G129" s="33" t="s">
        <v>207</v>
      </c>
      <c r="H129" s="33" t="s">
        <v>264</v>
      </c>
      <c r="I129" s="61">
        <v>8.4601271050911253E-2</v>
      </c>
      <c r="J129" s="33">
        <v>0</v>
      </c>
      <c r="K129" s="49">
        <v>-17.937475335334941</v>
      </c>
      <c r="L129" s="60">
        <v>6.494819915341985</v>
      </c>
      <c r="M129" s="69">
        <v>23.005417279204025</v>
      </c>
      <c r="N129" s="70">
        <v>24.411750648541112</v>
      </c>
    </row>
    <row r="130" spans="1:14" x14ac:dyDescent="0.25">
      <c r="A130" s="32" t="s">
        <v>274</v>
      </c>
      <c r="B130" s="33" t="s">
        <v>202</v>
      </c>
      <c r="C130" s="33" t="s">
        <v>203</v>
      </c>
      <c r="D130" s="33" t="s">
        <v>75</v>
      </c>
      <c r="E130" s="33" t="s">
        <v>205</v>
      </c>
      <c r="F130" s="33" t="s">
        <v>222</v>
      </c>
      <c r="G130" s="33" t="s">
        <v>210</v>
      </c>
      <c r="H130" s="33" t="s">
        <v>264</v>
      </c>
      <c r="I130" s="61">
        <v>0</v>
      </c>
      <c r="J130" s="33">
        <v>0</v>
      </c>
      <c r="K130" s="49">
        <v>-26.12347634424793</v>
      </c>
      <c r="L130" s="60">
        <v>5.5185475638507882</v>
      </c>
      <c r="M130" s="69">
        <v>28.478058799231359</v>
      </c>
      <c r="N130" s="70">
        <v>30.652458756593361</v>
      </c>
    </row>
    <row r="131" spans="1:14" x14ac:dyDescent="0.25">
      <c r="A131" s="32" t="s">
        <v>275</v>
      </c>
      <c r="B131" s="33" t="s">
        <v>202</v>
      </c>
      <c r="C131" s="33" t="s">
        <v>203</v>
      </c>
      <c r="D131" s="33" t="s">
        <v>75</v>
      </c>
      <c r="E131" s="33" t="s">
        <v>205</v>
      </c>
      <c r="F131" s="33" t="s">
        <v>222</v>
      </c>
      <c r="G131" s="33" t="s">
        <v>212</v>
      </c>
      <c r="H131" s="33" t="s">
        <v>264</v>
      </c>
      <c r="I131" s="61">
        <v>0.13737457097564265</v>
      </c>
      <c r="J131" s="33">
        <v>0</v>
      </c>
      <c r="K131" s="49">
        <v>-4.2487039495141312</v>
      </c>
      <c r="L131" s="60">
        <v>4.9675732201664324</v>
      </c>
      <c r="M131" s="69">
        <v>10.902132196869436</v>
      </c>
      <c r="N131" s="70">
        <v>7.2691199187550994</v>
      </c>
    </row>
    <row r="132" spans="1:14" x14ac:dyDescent="0.25">
      <c r="A132" s="32" t="s">
        <v>276</v>
      </c>
      <c r="B132" s="33" t="s">
        <v>226</v>
      </c>
      <c r="C132" s="33" t="s">
        <v>203</v>
      </c>
      <c r="D132" s="33" t="s">
        <v>75</v>
      </c>
      <c r="E132" s="33" t="s">
        <v>205</v>
      </c>
      <c r="F132" s="33" t="s">
        <v>206</v>
      </c>
      <c r="G132" s="33" t="s">
        <v>207</v>
      </c>
      <c r="H132" s="33" t="s">
        <v>264</v>
      </c>
      <c r="I132" s="61">
        <v>7.4393331274210057</v>
      </c>
      <c r="J132" s="33">
        <v>0</v>
      </c>
      <c r="K132" s="49">
        <v>-11.295550986735863</v>
      </c>
      <c r="L132" s="60">
        <v>13.080000000000004</v>
      </c>
      <c r="M132" s="69">
        <v>20.699882393495205</v>
      </c>
      <c r="N132" s="70">
        <v>23.284829231688573</v>
      </c>
    </row>
    <row r="133" spans="1:14" x14ac:dyDescent="0.25">
      <c r="A133" s="32" t="s">
        <v>277</v>
      </c>
      <c r="B133" s="33" t="s">
        <v>226</v>
      </c>
      <c r="C133" s="33" t="s">
        <v>203</v>
      </c>
      <c r="D133" s="33" t="s">
        <v>75</v>
      </c>
      <c r="E133" s="33" t="s">
        <v>205</v>
      </c>
      <c r="F133" s="33" t="s">
        <v>206</v>
      </c>
      <c r="G133" s="33" t="s">
        <v>210</v>
      </c>
      <c r="H133" s="33" t="s">
        <v>264</v>
      </c>
      <c r="I133" s="61">
        <v>2.0541445702937411</v>
      </c>
      <c r="J133" s="33">
        <v>0</v>
      </c>
      <c r="K133" s="49">
        <v>-23.547229968253973</v>
      </c>
      <c r="L133" s="60">
        <v>13.080000000000002</v>
      </c>
      <c r="M133" s="69">
        <v>17.480826126036327</v>
      </c>
      <c r="N133" s="70">
        <v>20.240956566989428</v>
      </c>
    </row>
    <row r="134" spans="1:14" x14ac:dyDescent="0.25">
      <c r="A134" s="32" t="s">
        <v>278</v>
      </c>
      <c r="B134" s="33" t="s">
        <v>226</v>
      </c>
      <c r="C134" s="33" t="s">
        <v>203</v>
      </c>
      <c r="D134" s="33" t="s">
        <v>75</v>
      </c>
      <c r="E134" s="33" t="s">
        <v>205</v>
      </c>
      <c r="F134" s="33" t="s">
        <v>206</v>
      </c>
      <c r="G134" s="33" t="s">
        <v>212</v>
      </c>
      <c r="H134" s="33" t="s">
        <v>264</v>
      </c>
      <c r="I134" s="61">
        <v>2.4141445702937414</v>
      </c>
      <c r="J134" s="33">
        <v>0</v>
      </c>
      <c r="K134" s="49">
        <v>-6.9040814637110604</v>
      </c>
      <c r="L134" s="60">
        <v>13.080000000000002</v>
      </c>
      <c r="M134" s="69">
        <v>3.2955276903236865</v>
      </c>
      <c r="N134" s="70">
        <v>3.4200258748449284</v>
      </c>
    </row>
    <row r="135" spans="1:14" x14ac:dyDescent="0.25">
      <c r="A135" s="32" t="s">
        <v>279</v>
      </c>
      <c r="B135" s="33" t="s">
        <v>226</v>
      </c>
      <c r="C135" s="33" t="s">
        <v>203</v>
      </c>
      <c r="D135" s="33" t="s">
        <v>75</v>
      </c>
      <c r="E135" s="33" t="s">
        <v>205</v>
      </c>
      <c r="F135" s="33" t="s">
        <v>214</v>
      </c>
      <c r="G135" s="33" t="s">
        <v>207</v>
      </c>
      <c r="H135" s="33" t="s">
        <v>264</v>
      </c>
      <c r="I135" s="61">
        <v>4.3066456780551867</v>
      </c>
      <c r="J135" s="33">
        <v>0</v>
      </c>
      <c r="K135" s="49">
        <v>-7.4779884637950609</v>
      </c>
      <c r="L135" s="60">
        <v>13.08</v>
      </c>
      <c r="M135" s="69">
        <v>8.762426558557932</v>
      </c>
      <c r="N135" s="70">
        <v>8.9003273294453145</v>
      </c>
    </row>
    <row r="136" spans="1:14" x14ac:dyDescent="0.25">
      <c r="A136" s="32" t="s">
        <v>280</v>
      </c>
      <c r="B136" s="33" t="s">
        <v>226</v>
      </c>
      <c r="C136" s="33" t="s">
        <v>203</v>
      </c>
      <c r="D136" s="33" t="s">
        <v>75</v>
      </c>
      <c r="E136" s="33" t="s">
        <v>205</v>
      </c>
      <c r="F136" s="33" t="s">
        <v>214</v>
      </c>
      <c r="G136" s="33" t="s">
        <v>210</v>
      </c>
      <c r="H136" s="33" t="s">
        <v>264</v>
      </c>
      <c r="I136" s="61">
        <v>8.7042810500368919</v>
      </c>
      <c r="J136" s="33">
        <v>0</v>
      </c>
      <c r="K136" s="49">
        <v>-8.6790573686978654</v>
      </c>
      <c r="L136" s="60">
        <v>13.08</v>
      </c>
      <c r="M136" s="69">
        <v>17.010721376971503</v>
      </c>
      <c r="N136" s="70">
        <v>16.906969973390311</v>
      </c>
    </row>
    <row r="137" spans="1:14" x14ac:dyDescent="0.25">
      <c r="A137" s="32" t="s">
        <v>281</v>
      </c>
      <c r="B137" s="33" t="s">
        <v>226</v>
      </c>
      <c r="C137" s="33" t="s">
        <v>203</v>
      </c>
      <c r="D137" s="33" t="s">
        <v>75</v>
      </c>
      <c r="E137" s="33" t="s">
        <v>205</v>
      </c>
      <c r="F137" s="33" t="s">
        <v>214</v>
      </c>
      <c r="G137" s="33" t="s">
        <v>212</v>
      </c>
      <c r="H137" s="33" t="s">
        <v>264</v>
      </c>
      <c r="I137" s="61">
        <v>8.0438337216717404</v>
      </c>
      <c r="J137" s="33">
        <v>0</v>
      </c>
      <c r="K137" s="49">
        <v>-9.2921578583695652</v>
      </c>
      <c r="L137" s="60">
        <v>13.080000000000004</v>
      </c>
      <c r="M137" s="69">
        <v>15.717983072262172</v>
      </c>
      <c r="N137" s="70">
        <v>13.880617724114135</v>
      </c>
    </row>
    <row r="138" spans="1:14" x14ac:dyDescent="0.25">
      <c r="A138" s="32" t="s">
        <v>282</v>
      </c>
      <c r="B138" s="33" t="s">
        <v>226</v>
      </c>
      <c r="C138" s="33" t="s">
        <v>203</v>
      </c>
      <c r="D138" s="33" t="s">
        <v>75</v>
      </c>
      <c r="E138" s="33" t="s">
        <v>205</v>
      </c>
      <c r="F138" s="33" t="s">
        <v>218</v>
      </c>
      <c r="G138" s="33" t="s">
        <v>207</v>
      </c>
      <c r="H138" s="33" t="s">
        <v>264</v>
      </c>
      <c r="I138" s="61">
        <v>5.9153714405973519</v>
      </c>
      <c r="J138" s="33">
        <v>0</v>
      </c>
      <c r="K138" s="49">
        <v>-8.7401111552056712</v>
      </c>
      <c r="L138" s="60">
        <v>13.080000000000004</v>
      </c>
      <c r="M138" s="69">
        <v>10.616307232139107</v>
      </c>
      <c r="N138" s="70">
        <v>12.216889266929259</v>
      </c>
    </row>
    <row r="139" spans="1:14" x14ac:dyDescent="0.25">
      <c r="A139" s="32" t="s">
        <v>283</v>
      </c>
      <c r="B139" s="33" t="s">
        <v>226</v>
      </c>
      <c r="C139" s="33" t="s">
        <v>203</v>
      </c>
      <c r="D139" s="33" t="s">
        <v>75</v>
      </c>
      <c r="E139" s="33" t="s">
        <v>205</v>
      </c>
      <c r="F139" s="33" t="s">
        <v>218</v>
      </c>
      <c r="G139" s="33" t="s">
        <v>210</v>
      </c>
      <c r="H139" s="33" t="s">
        <v>264</v>
      </c>
      <c r="I139" s="61">
        <v>4.106689317798712</v>
      </c>
      <c r="J139" s="33">
        <v>0</v>
      </c>
      <c r="K139" s="49">
        <v>-11.376496747692389</v>
      </c>
      <c r="L139" s="60">
        <v>13.080000000000002</v>
      </c>
      <c r="M139" s="69">
        <v>1.7808485190389081</v>
      </c>
      <c r="N139" s="70">
        <v>1.705029762094908</v>
      </c>
    </row>
    <row r="140" spans="1:14" x14ac:dyDescent="0.25">
      <c r="A140" s="32" t="s">
        <v>284</v>
      </c>
      <c r="B140" s="33" t="s">
        <v>226</v>
      </c>
      <c r="C140" s="33" t="s">
        <v>203</v>
      </c>
      <c r="D140" s="33" t="s">
        <v>75</v>
      </c>
      <c r="E140" s="33" t="s">
        <v>205</v>
      </c>
      <c r="F140" s="33" t="s">
        <v>218</v>
      </c>
      <c r="G140" s="33" t="s">
        <v>212</v>
      </c>
      <c r="H140" s="33" t="s">
        <v>264</v>
      </c>
      <c r="I140" s="61">
        <v>6.233731024829698</v>
      </c>
      <c r="J140" s="33">
        <v>0</v>
      </c>
      <c r="K140" s="49">
        <v>-19.434736565264739</v>
      </c>
      <c r="L140" s="60">
        <v>13.080000000000002</v>
      </c>
      <c r="M140" s="69">
        <v>26.437362560942532</v>
      </c>
      <c r="N140" s="70">
        <v>30.611682965301874</v>
      </c>
    </row>
    <row r="141" spans="1:14" x14ac:dyDescent="0.25">
      <c r="A141" s="32" t="s">
        <v>285</v>
      </c>
      <c r="B141" s="33" t="s">
        <v>226</v>
      </c>
      <c r="C141" s="33" t="s">
        <v>203</v>
      </c>
      <c r="D141" s="33" t="s">
        <v>75</v>
      </c>
      <c r="E141" s="33" t="s">
        <v>205</v>
      </c>
      <c r="F141" s="33" t="s">
        <v>222</v>
      </c>
      <c r="G141" s="33" t="s">
        <v>207</v>
      </c>
      <c r="H141" s="33" t="s">
        <v>264</v>
      </c>
      <c r="I141" s="61">
        <v>4.5753961643444381</v>
      </c>
      <c r="J141" s="33">
        <v>0</v>
      </c>
      <c r="K141" s="49">
        <v>-33.983042666911842</v>
      </c>
      <c r="L141" s="60">
        <v>13.079999999999998</v>
      </c>
      <c r="M141" s="69">
        <v>25.132803781624908</v>
      </c>
      <c r="N141" s="70">
        <v>26.875040282923184</v>
      </c>
    </row>
    <row r="142" spans="1:14" x14ac:dyDescent="0.25">
      <c r="A142" s="32" t="s">
        <v>286</v>
      </c>
      <c r="B142" s="33" t="s">
        <v>226</v>
      </c>
      <c r="C142" s="33" t="s">
        <v>203</v>
      </c>
      <c r="D142" s="33" t="s">
        <v>75</v>
      </c>
      <c r="E142" s="33" t="s">
        <v>205</v>
      </c>
      <c r="F142" s="33" t="s">
        <v>222</v>
      </c>
      <c r="G142" s="33" t="s">
        <v>210</v>
      </c>
      <c r="H142" s="33" t="s">
        <v>264</v>
      </c>
      <c r="I142" s="61">
        <v>7.9661133295088051</v>
      </c>
      <c r="J142" s="33">
        <v>0</v>
      </c>
      <c r="K142" s="49">
        <v>-51.655848971814599</v>
      </c>
      <c r="L142" s="60">
        <v>13.080000000000002</v>
      </c>
      <c r="M142" s="69">
        <v>33.248104275405986</v>
      </c>
      <c r="N142" s="70">
        <v>36.175669307953456</v>
      </c>
    </row>
    <row r="143" spans="1:14" x14ac:dyDescent="0.25">
      <c r="A143" s="32" t="s">
        <v>287</v>
      </c>
      <c r="B143" s="33" t="s">
        <v>226</v>
      </c>
      <c r="C143" s="33" t="s">
        <v>203</v>
      </c>
      <c r="D143" s="33" t="s">
        <v>75</v>
      </c>
      <c r="E143" s="33" t="s">
        <v>205</v>
      </c>
      <c r="F143" s="33" t="s">
        <v>222</v>
      </c>
      <c r="G143" s="33" t="s">
        <v>212</v>
      </c>
      <c r="H143" s="33" t="s">
        <v>264</v>
      </c>
      <c r="I143" s="61">
        <v>9.7335349494586705</v>
      </c>
      <c r="J143" s="33">
        <v>0</v>
      </c>
      <c r="K143" s="49">
        <v>-10.271452805055041</v>
      </c>
      <c r="L143" s="60">
        <v>13.080000000000002</v>
      </c>
      <c r="M143" s="69">
        <v>16.048550917928605</v>
      </c>
      <c r="N143" s="70">
        <v>13.228131069455189</v>
      </c>
    </row>
    <row r="144" spans="1:14" x14ac:dyDescent="0.25">
      <c r="A144" s="32" t="s">
        <v>288</v>
      </c>
      <c r="B144" s="33" t="s">
        <v>202</v>
      </c>
      <c r="C144" s="33" t="s">
        <v>203</v>
      </c>
      <c r="D144" s="33" t="s">
        <v>75</v>
      </c>
      <c r="E144" s="33" t="s">
        <v>205</v>
      </c>
      <c r="F144" s="33" t="s">
        <v>206</v>
      </c>
      <c r="G144" s="33" t="s">
        <v>207</v>
      </c>
      <c r="H144" s="33" t="s">
        <v>289</v>
      </c>
      <c r="I144" s="61">
        <v>0.12022185699679676</v>
      </c>
      <c r="J144" s="33">
        <v>0</v>
      </c>
      <c r="K144" s="49">
        <v>-6.848646173164429</v>
      </c>
      <c r="L144" s="60">
        <v>7.7486613613783257</v>
      </c>
      <c r="M144" s="69">
        <v>19.843487129357882</v>
      </c>
      <c r="N144" s="70">
        <v>22.293213662687457</v>
      </c>
    </row>
    <row r="145" spans="1:14" x14ac:dyDescent="0.25">
      <c r="A145" s="32" t="s">
        <v>290</v>
      </c>
      <c r="B145" s="33" t="s">
        <v>202</v>
      </c>
      <c r="C145" s="33" t="s">
        <v>203</v>
      </c>
      <c r="D145" s="33" t="s">
        <v>75</v>
      </c>
      <c r="E145" s="33" t="s">
        <v>205</v>
      </c>
      <c r="F145" s="33" t="s">
        <v>206</v>
      </c>
      <c r="G145" s="33" t="s">
        <v>210</v>
      </c>
      <c r="H145" s="33" t="s">
        <v>289</v>
      </c>
      <c r="I145" s="61">
        <v>0</v>
      </c>
      <c r="J145" s="33">
        <v>0</v>
      </c>
      <c r="K145" s="49">
        <v>-20.851381794687516</v>
      </c>
      <c r="L145" s="60">
        <v>7.8211249476750613</v>
      </c>
      <c r="M145" s="69">
        <v>15.928797942433603</v>
      </c>
      <c r="N145" s="70">
        <v>18.443871301765224</v>
      </c>
    </row>
    <row r="146" spans="1:14" x14ac:dyDescent="0.25">
      <c r="A146" s="32" t="s">
        <v>291</v>
      </c>
      <c r="B146" s="33" t="s">
        <v>202</v>
      </c>
      <c r="C146" s="33" t="s">
        <v>203</v>
      </c>
      <c r="D146" s="33" t="s">
        <v>75</v>
      </c>
      <c r="E146" s="33" t="s">
        <v>205</v>
      </c>
      <c r="F146" s="33" t="s">
        <v>206</v>
      </c>
      <c r="G146" s="33" t="s">
        <v>212</v>
      </c>
      <c r="H146" s="33" t="s">
        <v>289</v>
      </c>
      <c r="I146" s="61">
        <v>0</v>
      </c>
      <c r="J146" s="33">
        <v>0</v>
      </c>
      <c r="K146" s="49">
        <v>-5.4883172344481466</v>
      </c>
      <c r="L146" s="60">
        <v>10.983113332531543</v>
      </c>
      <c r="M146" s="69">
        <v>1.7565767997361463</v>
      </c>
      <c r="N146" s="70">
        <v>1.6380827383751453</v>
      </c>
    </row>
    <row r="147" spans="1:14" x14ac:dyDescent="0.25">
      <c r="A147" s="32" t="s">
        <v>292</v>
      </c>
      <c r="B147" s="33" t="s">
        <v>202</v>
      </c>
      <c r="C147" s="33" t="s">
        <v>203</v>
      </c>
      <c r="D147" s="33" t="s">
        <v>75</v>
      </c>
      <c r="E147" s="33" t="s">
        <v>205</v>
      </c>
      <c r="F147" s="33" t="s">
        <v>214</v>
      </c>
      <c r="G147" s="33" t="s">
        <v>207</v>
      </c>
      <c r="H147" s="33" t="s">
        <v>289</v>
      </c>
      <c r="I147" s="61">
        <v>1.7368780630155085E-2</v>
      </c>
      <c r="J147" s="33">
        <v>0</v>
      </c>
      <c r="K147" s="49">
        <v>-5.6123058019090184</v>
      </c>
      <c r="L147" s="60">
        <v>8.4833887807419046</v>
      </c>
      <c r="M147" s="69">
        <v>7.6900520790060645</v>
      </c>
      <c r="N147" s="70">
        <v>7.6586305636484164</v>
      </c>
    </row>
    <row r="148" spans="1:14" x14ac:dyDescent="0.25">
      <c r="A148" s="32" t="s">
        <v>293</v>
      </c>
      <c r="B148" s="33" t="s">
        <v>202</v>
      </c>
      <c r="C148" s="33" t="s">
        <v>203</v>
      </c>
      <c r="D148" s="33" t="s">
        <v>75</v>
      </c>
      <c r="E148" s="33" t="s">
        <v>205</v>
      </c>
      <c r="F148" s="33" t="s">
        <v>214</v>
      </c>
      <c r="G148" s="33" t="s">
        <v>210</v>
      </c>
      <c r="H148" s="33" t="s">
        <v>289</v>
      </c>
      <c r="I148" s="61">
        <v>0.1721567766027671</v>
      </c>
      <c r="J148" s="33">
        <v>0</v>
      </c>
      <c r="K148" s="49">
        <v>-5.1996523813765609</v>
      </c>
      <c r="L148" s="60">
        <v>7.4159061658001111</v>
      </c>
      <c r="M148" s="69">
        <v>15.066307604382466</v>
      </c>
      <c r="N148" s="70">
        <v>14.655543499866161</v>
      </c>
    </row>
    <row r="149" spans="1:14" x14ac:dyDescent="0.25">
      <c r="A149" s="32" t="s">
        <v>294</v>
      </c>
      <c r="B149" s="33" t="s">
        <v>202</v>
      </c>
      <c r="C149" s="33" t="s">
        <v>203</v>
      </c>
      <c r="D149" s="33" t="s">
        <v>75</v>
      </c>
      <c r="E149" s="33" t="s">
        <v>205</v>
      </c>
      <c r="F149" s="33" t="s">
        <v>214</v>
      </c>
      <c r="G149" s="33" t="s">
        <v>212</v>
      </c>
      <c r="H149" s="33" t="s">
        <v>289</v>
      </c>
      <c r="I149" s="61">
        <v>0</v>
      </c>
      <c r="J149" s="33">
        <v>0</v>
      </c>
      <c r="K149" s="49">
        <v>-5.4446456981532085</v>
      </c>
      <c r="L149" s="60">
        <v>7.5387920061363687</v>
      </c>
      <c r="M149" s="69">
        <v>11.664161034789657</v>
      </c>
      <c r="N149" s="70">
        <v>9.1867185228301693</v>
      </c>
    </row>
    <row r="150" spans="1:14" x14ac:dyDescent="0.25">
      <c r="A150" s="32" t="s">
        <v>295</v>
      </c>
      <c r="B150" s="33" t="s">
        <v>202</v>
      </c>
      <c r="C150" s="33" t="s">
        <v>203</v>
      </c>
      <c r="D150" s="33" t="s">
        <v>75</v>
      </c>
      <c r="E150" s="33" t="s">
        <v>205</v>
      </c>
      <c r="F150" s="33" t="s">
        <v>218</v>
      </c>
      <c r="G150" s="33" t="s">
        <v>207</v>
      </c>
      <c r="H150" s="33" t="s">
        <v>289</v>
      </c>
      <c r="I150" s="61">
        <v>0.56422423243255804</v>
      </c>
      <c r="J150" s="33">
        <v>0</v>
      </c>
      <c r="K150" s="49">
        <v>-6.9198422337992556</v>
      </c>
      <c r="L150" s="60">
        <v>11.794953128104282</v>
      </c>
      <c r="M150" s="69">
        <v>10.614093633679014</v>
      </c>
      <c r="N150" s="70">
        <v>12.214326152922833</v>
      </c>
    </row>
    <row r="151" spans="1:14" x14ac:dyDescent="0.25">
      <c r="A151" s="32" t="s">
        <v>296</v>
      </c>
      <c r="B151" s="33" t="s">
        <v>202</v>
      </c>
      <c r="C151" s="33" t="s">
        <v>203</v>
      </c>
      <c r="D151" s="33" t="s">
        <v>75</v>
      </c>
      <c r="E151" s="33" t="s">
        <v>205</v>
      </c>
      <c r="F151" s="33" t="s">
        <v>218</v>
      </c>
      <c r="G151" s="33" t="s">
        <v>210</v>
      </c>
      <c r="H151" s="33" t="s">
        <v>289</v>
      </c>
      <c r="I151" s="61">
        <v>0</v>
      </c>
      <c r="J151" s="33">
        <v>0</v>
      </c>
      <c r="K151" s="49">
        <v>-7.91201853747169</v>
      </c>
      <c r="L151" s="60">
        <v>10.077886389104112</v>
      </c>
      <c r="M151" s="69">
        <v>1.2499120862123494</v>
      </c>
      <c r="N151" s="70">
        <v>1.0902612609273137</v>
      </c>
    </row>
    <row r="152" spans="1:14" x14ac:dyDescent="0.25">
      <c r="A152" s="32" t="s">
        <v>297</v>
      </c>
      <c r="B152" s="33" t="s">
        <v>202</v>
      </c>
      <c r="C152" s="33" t="s">
        <v>203</v>
      </c>
      <c r="D152" s="33" t="s">
        <v>75</v>
      </c>
      <c r="E152" s="33" t="s">
        <v>205</v>
      </c>
      <c r="F152" s="33" t="s">
        <v>218</v>
      </c>
      <c r="G152" s="33" t="s">
        <v>212</v>
      </c>
      <c r="H152" s="33" t="s">
        <v>289</v>
      </c>
      <c r="I152" s="61">
        <v>0</v>
      </c>
      <c r="J152" s="33">
        <v>0</v>
      </c>
      <c r="K152" s="49">
        <v>-15.267756077251816</v>
      </c>
      <c r="L152" s="60">
        <v>7.5479322344858275</v>
      </c>
      <c r="M152" s="69">
        <v>21.545892184367478</v>
      </c>
      <c r="N152" s="70">
        <v>24.947875160846557</v>
      </c>
    </row>
    <row r="153" spans="1:14" x14ac:dyDescent="0.25">
      <c r="A153" s="32" t="s">
        <v>298</v>
      </c>
      <c r="B153" s="33" t="s">
        <v>202</v>
      </c>
      <c r="C153" s="33" t="s">
        <v>203</v>
      </c>
      <c r="D153" s="33" t="s">
        <v>75</v>
      </c>
      <c r="E153" s="33" t="s">
        <v>205</v>
      </c>
      <c r="F153" s="33" t="s">
        <v>222</v>
      </c>
      <c r="G153" s="33" t="s">
        <v>207</v>
      </c>
      <c r="H153" s="33" t="s">
        <v>289</v>
      </c>
      <c r="I153" s="61">
        <v>2.0942456321478155E-2</v>
      </c>
      <c r="J153" s="33">
        <v>0</v>
      </c>
      <c r="K153" s="49">
        <v>-17.937475335334941</v>
      </c>
      <c r="L153" s="60">
        <v>6.494819915341985</v>
      </c>
      <c r="M153" s="69">
        <v>23.005417279204025</v>
      </c>
      <c r="N153" s="70">
        <v>24.411750648541112</v>
      </c>
    </row>
    <row r="154" spans="1:14" x14ac:dyDescent="0.25">
      <c r="A154" s="32" t="s">
        <v>299</v>
      </c>
      <c r="B154" s="33" t="s">
        <v>202</v>
      </c>
      <c r="C154" s="33" t="s">
        <v>203</v>
      </c>
      <c r="D154" s="33" t="s">
        <v>75</v>
      </c>
      <c r="E154" s="33" t="s">
        <v>205</v>
      </c>
      <c r="F154" s="33" t="s">
        <v>222</v>
      </c>
      <c r="G154" s="33" t="s">
        <v>210</v>
      </c>
      <c r="H154" s="33" t="s">
        <v>289</v>
      </c>
      <c r="I154" s="61">
        <v>0</v>
      </c>
      <c r="J154" s="33">
        <v>0</v>
      </c>
      <c r="K154" s="49">
        <v>-26.12347634424793</v>
      </c>
      <c r="L154" s="60">
        <v>5.5185475638507882</v>
      </c>
      <c r="M154" s="69">
        <v>28.478058799231359</v>
      </c>
      <c r="N154" s="70">
        <v>30.652458756593361</v>
      </c>
    </row>
    <row r="155" spans="1:14" x14ac:dyDescent="0.25">
      <c r="A155" s="32" t="s">
        <v>300</v>
      </c>
      <c r="B155" s="33" t="s">
        <v>202</v>
      </c>
      <c r="C155" s="33" t="s">
        <v>203</v>
      </c>
      <c r="D155" s="33" t="s">
        <v>75</v>
      </c>
      <c r="E155" s="33" t="s">
        <v>205</v>
      </c>
      <c r="F155" s="33" t="s">
        <v>222</v>
      </c>
      <c r="G155" s="33" t="s">
        <v>212</v>
      </c>
      <c r="H155" s="33" t="s">
        <v>289</v>
      </c>
      <c r="I155" s="61">
        <v>0</v>
      </c>
      <c r="J155" s="33">
        <v>0</v>
      </c>
      <c r="K155" s="49">
        <v>-4.2487039495141312</v>
      </c>
      <c r="L155" s="60">
        <v>4.9675732201664324</v>
      </c>
      <c r="M155" s="69">
        <v>10.902132196869436</v>
      </c>
      <c r="N155" s="70">
        <v>7.2691199187550994</v>
      </c>
    </row>
    <row r="156" spans="1:14" x14ac:dyDescent="0.25">
      <c r="A156" s="32" t="s">
        <v>301</v>
      </c>
      <c r="B156" s="33" t="s">
        <v>226</v>
      </c>
      <c r="C156" s="33" t="s">
        <v>203</v>
      </c>
      <c r="D156" s="33" t="s">
        <v>75</v>
      </c>
      <c r="E156" s="33" t="s">
        <v>205</v>
      </c>
      <c r="F156" s="33" t="s">
        <v>206</v>
      </c>
      <c r="G156" s="33" t="s">
        <v>207</v>
      </c>
      <c r="H156" s="33" t="s">
        <v>289</v>
      </c>
      <c r="I156" s="61">
        <v>5.6393331274210059</v>
      </c>
      <c r="J156" s="33">
        <v>0</v>
      </c>
      <c r="K156" s="49">
        <v>-11.295550986735863</v>
      </c>
      <c r="L156" s="60">
        <v>13.080000000000004</v>
      </c>
      <c r="M156" s="69">
        <v>20.699882393495205</v>
      </c>
      <c r="N156" s="70">
        <v>23.284829231688573</v>
      </c>
    </row>
    <row r="157" spans="1:14" x14ac:dyDescent="0.25">
      <c r="A157" s="32" t="s">
        <v>302</v>
      </c>
      <c r="B157" s="33" t="s">
        <v>226</v>
      </c>
      <c r="C157" s="33" t="s">
        <v>203</v>
      </c>
      <c r="D157" s="33" t="s">
        <v>75</v>
      </c>
      <c r="E157" s="33" t="s">
        <v>205</v>
      </c>
      <c r="F157" s="33" t="s">
        <v>206</v>
      </c>
      <c r="G157" s="33" t="s">
        <v>210</v>
      </c>
      <c r="H157" s="33" t="s">
        <v>289</v>
      </c>
      <c r="I157" s="61">
        <v>0.25414457029374127</v>
      </c>
      <c r="J157" s="33">
        <v>0</v>
      </c>
      <c r="K157" s="49">
        <v>-23.547229968253973</v>
      </c>
      <c r="L157" s="60">
        <v>13.080000000000002</v>
      </c>
      <c r="M157" s="69">
        <v>17.480826126036327</v>
      </c>
      <c r="N157" s="70">
        <v>20.240956566989428</v>
      </c>
    </row>
    <row r="158" spans="1:14" x14ac:dyDescent="0.25">
      <c r="A158" s="32" t="s">
        <v>303</v>
      </c>
      <c r="B158" s="33" t="s">
        <v>226</v>
      </c>
      <c r="C158" s="33" t="s">
        <v>203</v>
      </c>
      <c r="D158" s="33" t="s">
        <v>75</v>
      </c>
      <c r="E158" s="33" t="s">
        <v>205</v>
      </c>
      <c r="F158" s="33" t="s">
        <v>206</v>
      </c>
      <c r="G158" s="33" t="s">
        <v>212</v>
      </c>
      <c r="H158" s="33" t="s">
        <v>289</v>
      </c>
      <c r="I158" s="61">
        <v>0.61414457029374159</v>
      </c>
      <c r="J158" s="33">
        <v>0</v>
      </c>
      <c r="K158" s="49">
        <v>-6.9040814637110604</v>
      </c>
      <c r="L158" s="60">
        <v>13.080000000000002</v>
      </c>
      <c r="M158" s="69">
        <v>3.2955276903236865</v>
      </c>
      <c r="N158" s="70">
        <v>3.4200258748449284</v>
      </c>
    </row>
    <row r="159" spans="1:14" x14ac:dyDescent="0.25">
      <c r="A159" s="32" t="s">
        <v>304</v>
      </c>
      <c r="B159" s="33" t="s">
        <v>226</v>
      </c>
      <c r="C159" s="33" t="s">
        <v>203</v>
      </c>
      <c r="D159" s="33" t="s">
        <v>75</v>
      </c>
      <c r="E159" s="33" t="s">
        <v>205</v>
      </c>
      <c r="F159" s="33" t="s">
        <v>214</v>
      </c>
      <c r="G159" s="33" t="s">
        <v>207</v>
      </c>
      <c r="H159" s="33" t="s">
        <v>289</v>
      </c>
      <c r="I159" s="61">
        <v>2.5066456780551869</v>
      </c>
      <c r="J159" s="33">
        <v>0</v>
      </c>
      <c r="K159" s="49">
        <v>-7.4779884637950609</v>
      </c>
      <c r="L159" s="60">
        <v>13.08</v>
      </c>
      <c r="M159" s="69">
        <v>8.762426558557932</v>
      </c>
      <c r="N159" s="70">
        <v>8.9003273294453145</v>
      </c>
    </row>
    <row r="160" spans="1:14" x14ac:dyDescent="0.25">
      <c r="A160" s="32" t="s">
        <v>305</v>
      </c>
      <c r="B160" s="33" t="s">
        <v>226</v>
      </c>
      <c r="C160" s="33" t="s">
        <v>203</v>
      </c>
      <c r="D160" s="33" t="s">
        <v>75</v>
      </c>
      <c r="E160" s="33" t="s">
        <v>205</v>
      </c>
      <c r="F160" s="33" t="s">
        <v>214</v>
      </c>
      <c r="G160" s="33" t="s">
        <v>210</v>
      </c>
      <c r="H160" s="33" t="s">
        <v>289</v>
      </c>
      <c r="I160" s="61">
        <v>6.9042810500368912</v>
      </c>
      <c r="J160" s="33">
        <v>0</v>
      </c>
      <c r="K160" s="49">
        <v>-8.6790573686978654</v>
      </c>
      <c r="L160" s="60">
        <v>13.08</v>
      </c>
      <c r="M160" s="69">
        <v>17.010721376971503</v>
      </c>
      <c r="N160" s="70">
        <v>16.906969973390311</v>
      </c>
    </row>
    <row r="161" spans="1:14" x14ac:dyDescent="0.25">
      <c r="A161" s="32" t="s">
        <v>306</v>
      </c>
      <c r="B161" s="33" t="s">
        <v>226</v>
      </c>
      <c r="C161" s="33" t="s">
        <v>203</v>
      </c>
      <c r="D161" s="33" t="s">
        <v>75</v>
      </c>
      <c r="E161" s="33" t="s">
        <v>205</v>
      </c>
      <c r="F161" s="33" t="s">
        <v>214</v>
      </c>
      <c r="G161" s="33" t="s">
        <v>212</v>
      </c>
      <c r="H161" s="33" t="s">
        <v>289</v>
      </c>
      <c r="I161" s="61">
        <v>6.2438337216717388</v>
      </c>
      <c r="J161" s="33">
        <v>0</v>
      </c>
      <c r="K161" s="49">
        <v>-9.2921578583695652</v>
      </c>
      <c r="L161" s="60">
        <v>13.080000000000004</v>
      </c>
      <c r="M161" s="69">
        <v>15.717983072262172</v>
      </c>
      <c r="N161" s="70">
        <v>13.880617724114135</v>
      </c>
    </row>
    <row r="162" spans="1:14" x14ac:dyDescent="0.25">
      <c r="A162" s="32" t="s">
        <v>307</v>
      </c>
      <c r="B162" s="33" t="s">
        <v>226</v>
      </c>
      <c r="C162" s="33" t="s">
        <v>203</v>
      </c>
      <c r="D162" s="33" t="s">
        <v>75</v>
      </c>
      <c r="E162" s="33" t="s">
        <v>205</v>
      </c>
      <c r="F162" s="33" t="s">
        <v>218</v>
      </c>
      <c r="G162" s="33" t="s">
        <v>207</v>
      </c>
      <c r="H162" s="33" t="s">
        <v>289</v>
      </c>
      <c r="I162" s="61">
        <v>4.115371440597352</v>
      </c>
      <c r="J162" s="33">
        <v>0</v>
      </c>
      <c r="K162" s="49">
        <v>-8.7401111552056712</v>
      </c>
      <c r="L162" s="60">
        <v>13.080000000000004</v>
      </c>
      <c r="M162" s="69">
        <v>10.616307232139107</v>
      </c>
      <c r="N162" s="70">
        <v>12.216889266929259</v>
      </c>
    </row>
    <row r="163" spans="1:14" x14ac:dyDescent="0.25">
      <c r="A163" s="32" t="s">
        <v>308</v>
      </c>
      <c r="B163" s="33" t="s">
        <v>226</v>
      </c>
      <c r="C163" s="33" t="s">
        <v>203</v>
      </c>
      <c r="D163" s="33" t="s">
        <v>75</v>
      </c>
      <c r="E163" s="33" t="s">
        <v>205</v>
      </c>
      <c r="F163" s="33" t="s">
        <v>218</v>
      </c>
      <c r="G163" s="33" t="s">
        <v>210</v>
      </c>
      <c r="H163" s="33" t="s">
        <v>289</v>
      </c>
      <c r="I163" s="61">
        <v>2.3066893177987113</v>
      </c>
      <c r="J163" s="33">
        <v>0</v>
      </c>
      <c r="K163" s="49">
        <v>-11.376496747692389</v>
      </c>
      <c r="L163" s="60">
        <v>13.080000000000002</v>
      </c>
      <c r="M163" s="69">
        <v>1.7808485190389081</v>
      </c>
      <c r="N163" s="70">
        <v>1.705029762094908</v>
      </c>
    </row>
    <row r="164" spans="1:14" x14ac:dyDescent="0.25">
      <c r="A164" s="32" t="s">
        <v>309</v>
      </c>
      <c r="B164" s="33" t="s">
        <v>226</v>
      </c>
      <c r="C164" s="33" t="s">
        <v>203</v>
      </c>
      <c r="D164" s="33" t="s">
        <v>75</v>
      </c>
      <c r="E164" s="33" t="s">
        <v>205</v>
      </c>
      <c r="F164" s="33" t="s">
        <v>218</v>
      </c>
      <c r="G164" s="33" t="s">
        <v>212</v>
      </c>
      <c r="H164" s="33" t="s">
        <v>289</v>
      </c>
      <c r="I164" s="61">
        <v>4.4337310248296982</v>
      </c>
      <c r="J164" s="33">
        <v>0</v>
      </c>
      <c r="K164" s="49">
        <v>-19.434736565264739</v>
      </c>
      <c r="L164" s="60">
        <v>13.080000000000002</v>
      </c>
      <c r="M164" s="69">
        <v>26.437362560942532</v>
      </c>
      <c r="N164" s="70">
        <v>30.611682965301874</v>
      </c>
    </row>
    <row r="165" spans="1:14" x14ac:dyDescent="0.25">
      <c r="A165" s="32" t="s">
        <v>310</v>
      </c>
      <c r="B165" s="33" t="s">
        <v>226</v>
      </c>
      <c r="C165" s="33" t="s">
        <v>203</v>
      </c>
      <c r="D165" s="33" t="s">
        <v>75</v>
      </c>
      <c r="E165" s="33" t="s">
        <v>205</v>
      </c>
      <c r="F165" s="33" t="s">
        <v>222</v>
      </c>
      <c r="G165" s="33" t="s">
        <v>207</v>
      </c>
      <c r="H165" s="33" t="s">
        <v>289</v>
      </c>
      <c r="I165" s="61">
        <v>2.7753961643444383</v>
      </c>
      <c r="J165" s="33">
        <v>0</v>
      </c>
      <c r="K165" s="49">
        <v>-33.983042666911842</v>
      </c>
      <c r="L165" s="60">
        <v>13.079999999999998</v>
      </c>
      <c r="M165" s="69">
        <v>25.132803781624908</v>
      </c>
      <c r="N165" s="70">
        <v>26.875040282923184</v>
      </c>
    </row>
    <row r="166" spans="1:14" x14ac:dyDescent="0.25">
      <c r="A166" s="32" t="s">
        <v>311</v>
      </c>
      <c r="B166" s="33" t="s">
        <v>226</v>
      </c>
      <c r="C166" s="33" t="s">
        <v>203</v>
      </c>
      <c r="D166" s="33" t="s">
        <v>75</v>
      </c>
      <c r="E166" s="33" t="s">
        <v>205</v>
      </c>
      <c r="F166" s="33" t="s">
        <v>222</v>
      </c>
      <c r="G166" s="33" t="s">
        <v>210</v>
      </c>
      <c r="H166" s="33" t="s">
        <v>289</v>
      </c>
      <c r="I166" s="61">
        <v>6.1661133295088044</v>
      </c>
      <c r="J166" s="33">
        <v>0</v>
      </c>
      <c r="K166" s="49">
        <v>-51.655848971814599</v>
      </c>
      <c r="L166" s="60">
        <v>13.080000000000002</v>
      </c>
      <c r="M166" s="69">
        <v>33.248104275405986</v>
      </c>
      <c r="N166" s="70">
        <v>36.175669307953456</v>
      </c>
    </row>
    <row r="167" spans="1:14" x14ac:dyDescent="0.25">
      <c r="A167" s="32" t="s">
        <v>312</v>
      </c>
      <c r="B167" s="33" t="s">
        <v>226</v>
      </c>
      <c r="C167" s="33" t="s">
        <v>203</v>
      </c>
      <c r="D167" s="33" t="s">
        <v>75</v>
      </c>
      <c r="E167" s="33" t="s">
        <v>205</v>
      </c>
      <c r="F167" s="33" t="s">
        <v>222</v>
      </c>
      <c r="G167" s="33" t="s">
        <v>212</v>
      </c>
      <c r="H167" s="33" t="s">
        <v>289</v>
      </c>
      <c r="I167" s="61">
        <v>7.9335349494586698</v>
      </c>
      <c r="J167" s="33">
        <v>0</v>
      </c>
      <c r="K167" s="49">
        <v>-10.271452805055041</v>
      </c>
      <c r="L167" s="60">
        <v>13.080000000000002</v>
      </c>
      <c r="M167" s="69">
        <v>16.048550917928605</v>
      </c>
      <c r="N167" s="70">
        <v>13.228131069455189</v>
      </c>
    </row>
    <row r="168" spans="1:14" x14ac:dyDescent="0.25">
      <c r="A168" s="32" t="s">
        <v>313</v>
      </c>
      <c r="B168" s="33" t="s">
        <v>202</v>
      </c>
      <c r="C168" s="33" t="s">
        <v>203</v>
      </c>
      <c r="D168" s="33" t="s">
        <v>314</v>
      </c>
      <c r="E168" s="33" t="s">
        <v>205</v>
      </c>
      <c r="F168" s="33" t="s">
        <v>206</v>
      </c>
      <c r="G168" s="33" t="s">
        <v>207</v>
      </c>
      <c r="H168" s="33" t="s">
        <v>315</v>
      </c>
      <c r="I168" s="61">
        <v>3.4686332327965768</v>
      </c>
      <c r="J168" s="33">
        <v>0</v>
      </c>
      <c r="K168" s="49">
        <v>-3.2021843378159072</v>
      </c>
      <c r="L168" s="60">
        <v>3.8980426037000409</v>
      </c>
      <c r="M168" s="69">
        <v>53.771450530668062</v>
      </c>
      <c r="N168" s="70">
        <v>51.887648322040107</v>
      </c>
    </row>
    <row r="169" spans="1:14" x14ac:dyDescent="0.25">
      <c r="A169" s="32" t="s">
        <v>316</v>
      </c>
      <c r="B169" s="33" t="s">
        <v>202</v>
      </c>
      <c r="C169" s="33" t="s">
        <v>203</v>
      </c>
      <c r="D169" s="33" t="s">
        <v>314</v>
      </c>
      <c r="E169" s="33" t="s">
        <v>205</v>
      </c>
      <c r="F169" s="33" t="s">
        <v>206</v>
      </c>
      <c r="G169" s="33" t="s">
        <v>210</v>
      </c>
      <c r="H169" s="33" t="s">
        <v>315</v>
      </c>
      <c r="I169" s="61">
        <v>4.139746296363656</v>
      </c>
      <c r="J169" s="33">
        <v>0</v>
      </c>
      <c r="K169" s="49">
        <v>-13.820943501885695</v>
      </c>
      <c r="L169" s="60">
        <v>3.8980426037000422</v>
      </c>
      <c r="M169" s="69">
        <v>41.394007128592563</v>
      </c>
      <c r="N169" s="70">
        <v>41.394007128592563</v>
      </c>
    </row>
    <row r="170" spans="1:14" x14ac:dyDescent="0.25">
      <c r="A170" s="32" t="s">
        <v>317</v>
      </c>
      <c r="B170" s="33" t="s">
        <v>202</v>
      </c>
      <c r="C170" s="33" t="s">
        <v>203</v>
      </c>
      <c r="D170" s="33" t="s">
        <v>314</v>
      </c>
      <c r="E170" s="33" t="s">
        <v>205</v>
      </c>
      <c r="F170" s="33" t="s">
        <v>206</v>
      </c>
      <c r="G170" s="33" t="s">
        <v>212</v>
      </c>
      <c r="H170" s="33" t="s">
        <v>315</v>
      </c>
      <c r="I170" s="61">
        <v>4.2902403610210254</v>
      </c>
      <c r="J170" s="33">
        <v>0</v>
      </c>
      <c r="K170" s="49">
        <v>-16.585132202262834</v>
      </c>
      <c r="L170" s="60">
        <v>3.8980426037000422</v>
      </c>
      <c r="M170" s="69">
        <v>65.151799996994157</v>
      </c>
      <c r="N170" s="70">
        <v>32.848859265173687</v>
      </c>
    </row>
    <row r="171" spans="1:14" x14ac:dyDescent="0.25">
      <c r="A171" s="32" t="s">
        <v>318</v>
      </c>
      <c r="B171" s="33" t="s">
        <v>202</v>
      </c>
      <c r="C171" s="33" t="s">
        <v>203</v>
      </c>
      <c r="D171" s="33" t="s">
        <v>314</v>
      </c>
      <c r="E171" s="33" t="s">
        <v>205</v>
      </c>
      <c r="F171" s="33" t="s">
        <v>214</v>
      </c>
      <c r="G171" s="33" t="s">
        <v>207</v>
      </c>
      <c r="H171" s="33" t="s">
        <v>315</v>
      </c>
      <c r="I171" s="61">
        <v>3.5054800656318856</v>
      </c>
      <c r="J171" s="33">
        <v>0</v>
      </c>
      <c r="K171" s="49">
        <v>-4.3666177331211999</v>
      </c>
      <c r="L171" s="60">
        <v>3.9798324622731052</v>
      </c>
      <c r="M171" s="69">
        <v>28.177259643255692</v>
      </c>
      <c r="N171" s="70">
        <v>23.162365283471889</v>
      </c>
    </row>
    <row r="172" spans="1:14" x14ac:dyDescent="0.25">
      <c r="A172" s="32" t="s">
        <v>319</v>
      </c>
      <c r="B172" s="33" t="s">
        <v>202</v>
      </c>
      <c r="C172" s="33" t="s">
        <v>203</v>
      </c>
      <c r="D172" s="33" t="s">
        <v>314</v>
      </c>
      <c r="E172" s="33" t="s">
        <v>205</v>
      </c>
      <c r="F172" s="33" t="s">
        <v>214</v>
      </c>
      <c r="G172" s="33" t="s">
        <v>210</v>
      </c>
      <c r="H172" s="33" t="s">
        <v>315</v>
      </c>
      <c r="I172" s="61">
        <v>3.7204586186159632</v>
      </c>
      <c r="J172" s="33">
        <v>0</v>
      </c>
      <c r="K172" s="49">
        <v>-4.5608385401610976</v>
      </c>
      <c r="L172" s="60">
        <v>3.8980426037000395</v>
      </c>
      <c r="M172" s="69">
        <v>53.085460411268897</v>
      </c>
      <c r="N172" s="70">
        <v>41.947918097302477</v>
      </c>
    </row>
    <row r="173" spans="1:14" x14ac:dyDescent="0.25">
      <c r="A173" s="32" t="s">
        <v>320</v>
      </c>
      <c r="B173" s="33" t="s">
        <v>202</v>
      </c>
      <c r="C173" s="33" t="s">
        <v>203</v>
      </c>
      <c r="D173" s="33" t="s">
        <v>314</v>
      </c>
      <c r="E173" s="33" t="s">
        <v>205</v>
      </c>
      <c r="F173" s="33" t="s">
        <v>214</v>
      </c>
      <c r="G173" s="33" t="s">
        <v>212</v>
      </c>
      <c r="H173" s="33" t="s">
        <v>315</v>
      </c>
      <c r="I173" s="61">
        <v>4.036359745245413</v>
      </c>
      <c r="J173" s="33">
        <v>0</v>
      </c>
      <c r="K173" s="49">
        <v>-6.916489392738371</v>
      </c>
      <c r="L173" s="60">
        <v>3.8980426037000413</v>
      </c>
      <c r="M173" s="69">
        <v>82.263447228694133</v>
      </c>
      <c r="N173" s="70">
        <v>50.129455990841258</v>
      </c>
    </row>
    <row r="174" spans="1:14" x14ac:dyDescent="0.25">
      <c r="A174" s="32" t="s">
        <v>321</v>
      </c>
      <c r="B174" s="33" t="s">
        <v>202</v>
      </c>
      <c r="C174" s="33" t="s">
        <v>203</v>
      </c>
      <c r="D174" s="33" t="s">
        <v>314</v>
      </c>
      <c r="E174" s="33" t="s">
        <v>205</v>
      </c>
      <c r="F174" s="33" t="s">
        <v>218</v>
      </c>
      <c r="G174" s="33" t="s">
        <v>207</v>
      </c>
      <c r="H174" s="33" t="s">
        <v>315</v>
      </c>
      <c r="I174" s="61">
        <v>4.4395381959802771</v>
      </c>
      <c r="J174" s="33">
        <v>0</v>
      </c>
      <c r="K174" s="49">
        <v>-4.8125233748977276</v>
      </c>
      <c r="L174" s="60">
        <v>3.9780599824121978</v>
      </c>
      <c r="M174" s="69">
        <v>44.659229386582012</v>
      </c>
      <c r="N174" s="70">
        <v>42.88354829917813</v>
      </c>
    </row>
    <row r="175" spans="1:14" x14ac:dyDescent="0.25">
      <c r="A175" s="32" t="s">
        <v>322</v>
      </c>
      <c r="B175" s="33" t="s">
        <v>202</v>
      </c>
      <c r="C175" s="33" t="s">
        <v>203</v>
      </c>
      <c r="D175" s="33" t="s">
        <v>314</v>
      </c>
      <c r="E175" s="33" t="s">
        <v>205</v>
      </c>
      <c r="F175" s="33" t="s">
        <v>218</v>
      </c>
      <c r="G175" s="33" t="s">
        <v>210</v>
      </c>
      <c r="H175" s="33" t="s">
        <v>315</v>
      </c>
      <c r="I175" s="61">
        <v>4.7780751100412235</v>
      </c>
      <c r="J175" s="33">
        <v>0</v>
      </c>
      <c r="K175" s="49">
        <v>-8.3289370050837483</v>
      </c>
      <c r="L175" s="60">
        <v>3.8980426037000422</v>
      </c>
      <c r="M175" s="69">
        <v>46.025791634805572</v>
      </c>
      <c r="N175" s="70">
        <v>22.887882054243462</v>
      </c>
    </row>
    <row r="176" spans="1:14" x14ac:dyDescent="0.25">
      <c r="A176" s="32" t="s">
        <v>323</v>
      </c>
      <c r="B176" s="33" t="s">
        <v>202</v>
      </c>
      <c r="C176" s="33" t="s">
        <v>203</v>
      </c>
      <c r="D176" s="33" t="s">
        <v>314</v>
      </c>
      <c r="E176" s="33" t="s">
        <v>205</v>
      </c>
      <c r="F176" s="33" t="s">
        <v>218</v>
      </c>
      <c r="G176" s="33" t="s">
        <v>212</v>
      </c>
      <c r="H176" s="33" t="s">
        <v>315</v>
      </c>
      <c r="I176" s="61">
        <v>4.5002557902044806</v>
      </c>
      <c r="J176" s="33">
        <v>0</v>
      </c>
      <c r="K176" s="49">
        <v>-10.001998586890965</v>
      </c>
      <c r="L176" s="60">
        <v>3.8980426037000422</v>
      </c>
      <c r="M176" s="69">
        <v>53.686327592701431</v>
      </c>
      <c r="N176" s="70">
        <v>53.686327592701431</v>
      </c>
    </row>
    <row r="177" spans="1:14" x14ac:dyDescent="0.25">
      <c r="A177" s="32" t="s">
        <v>324</v>
      </c>
      <c r="B177" s="33" t="s">
        <v>202</v>
      </c>
      <c r="C177" s="33" t="s">
        <v>203</v>
      </c>
      <c r="D177" s="33" t="s">
        <v>314</v>
      </c>
      <c r="E177" s="33" t="s">
        <v>205</v>
      </c>
      <c r="F177" s="33" t="s">
        <v>222</v>
      </c>
      <c r="G177" s="33" t="s">
        <v>207</v>
      </c>
      <c r="H177" s="33" t="s">
        <v>315</v>
      </c>
      <c r="I177" s="61">
        <v>4.8785848967015815</v>
      </c>
      <c r="J177" s="33">
        <v>0</v>
      </c>
      <c r="K177" s="49">
        <v>-12.168660311423734</v>
      </c>
      <c r="L177" s="60">
        <v>3.8980426037000417</v>
      </c>
      <c r="M177" s="69">
        <v>57.005989637566792</v>
      </c>
      <c r="N177" s="70">
        <v>51.787162155825342</v>
      </c>
    </row>
    <row r="178" spans="1:14" x14ac:dyDescent="0.25">
      <c r="A178" s="32" t="s">
        <v>325</v>
      </c>
      <c r="B178" s="33" t="s">
        <v>202</v>
      </c>
      <c r="C178" s="33" t="s">
        <v>203</v>
      </c>
      <c r="D178" s="33" t="s">
        <v>314</v>
      </c>
      <c r="E178" s="33" t="s">
        <v>205</v>
      </c>
      <c r="F178" s="33" t="s">
        <v>222</v>
      </c>
      <c r="G178" s="33" t="s">
        <v>210</v>
      </c>
      <c r="H178" s="33" t="s">
        <v>315</v>
      </c>
      <c r="I178" s="61">
        <v>5.8678983963288465</v>
      </c>
      <c r="J178" s="33">
        <v>0</v>
      </c>
      <c r="K178" s="49">
        <v>-17.130695761547795</v>
      </c>
      <c r="L178" s="60">
        <v>3.8980426037000404</v>
      </c>
      <c r="M178" s="69">
        <v>57.349541401787782</v>
      </c>
      <c r="N178" s="70">
        <v>52.921638865075586</v>
      </c>
    </row>
    <row r="179" spans="1:14" x14ac:dyDescent="0.25">
      <c r="A179" s="32" t="s">
        <v>326</v>
      </c>
      <c r="B179" s="33" t="s">
        <v>202</v>
      </c>
      <c r="C179" s="33" t="s">
        <v>203</v>
      </c>
      <c r="D179" s="33" t="s">
        <v>314</v>
      </c>
      <c r="E179" s="33" t="s">
        <v>205</v>
      </c>
      <c r="F179" s="33" t="s">
        <v>222</v>
      </c>
      <c r="G179" s="33" t="s">
        <v>212</v>
      </c>
      <c r="H179" s="33" t="s">
        <v>315</v>
      </c>
      <c r="I179" s="61">
        <v>3.3529517846344143</v>
      </c>
      <c r="J179" s="33">
        <v>0</v>
      </c>
      <c r="K179" s="49">
        <v>-12.002398304269157</v>
      </c>
      <c r="L179" s="60">
        <v>3.8980426037000404</v>
      </c>
      <c r="M179" s="69">
        <v>88.707775524007189</v>
      </c>
      <c r="N179" s="70">
        <v>47.998188228584731</v>
      </c>
    </row>
    <row r="180" spans="1:14" x14ac:dyDescent="0.25">
      <c r="A180" s="32" t="s">
        <v>327</v>
      </c>
      <c r="B180" s="33" t="s">
        <v>226</v>
      </c>
      <c r="C180" s="33" t="s">
        <v>203</v>
      </c>
      <c r="D180" s="33" t="s">
        <v>314</v>
      </c>
      <c r="E180" s="33" t="s">
        <v>205</v>
      </c>
      <c r="F180" s="33" t="s">
        <v>206</v>
      </c>
      <c r="G180" s="33" t="s">
        <v>207</v>
      </c>
      <c r="H180" s="33" t="s">
        <v>315</v>
      </c>
      <c r="I180" s="61">
        <v>9.0023318456431518</v>
      </c>
      <c r="J180" s="33">
        <v>0</v>
      </c>
      <c r="K180" s="49">
        <v>-11.096322359127489</v>
      </c>
      <c r="L180" s="60">
        <v>12</v>
      </c>
      <c r="M180" s="69">
        <v>55.979939044800382</v>
      </c>
      <c r="N180" s="70">
        <v>54.096136836172434</v>
      </c>
    </row>
    <row r="181" spans="1:14" x14ac:dyDescent="0.25">
      <c r="A181" s="32" t="s">
        <v>328</v>
      </c>
      <c r="B181" s="33" t="s">
        <v>226</v>
      </c>
      <c r="C181" s="33" t="s">
        <v>203</v>
      </c>
      <c r="D181" s="33" t="s">
        <v>314</v>
      </c>
      <c r="E181" s="33" t="s">
        <v>205</v>
      </c>
      <c r="F181" s="33" t="s">
        <v>206</v>
      </c>
      <c r="G181" s="33" t="s">
        <v>210</v>
      </c>
      <c r="H181" s="33" t="s">
        <v>315</v>
      </c>
      <c r="I181" s="61">
        <v>7.239721783952513</v>
      </c>
      <c r="J181" s="33">
        <v>0</v>
      </c>
      <c r="K181" s="49">
        <v>-24.261029154922205</v>
      </c>
      <c r="L181" s="60">
        <v>12</v>
      </c>
      <c r="M181" s="69">
        <v>45.427247171438665</v>
      </c>
      <c r="N181" s="70">
        <v>45.427247171438665</v>
      </c>
    </row>
    <row r="182" spans="1:14" x14ac:dyDescent="0.25">
      <c r="A182" s="32" t="s">
        <v>329</v>
      </c>
      <c r="B182" s="33" t="s">
        <v>226</v>
      </c>
      <c r="C182" s="33" t="s">
        <v>203</v>
      </c>
      <c r="D182" s="33" t="s">
        <v>314</v>
      </c>
      <c r="E182" s="33" t="s">
        <v>205</v>
      </c>
      <c r="F182" s="33" t="s">
        <v>206</v>
      </c>
      <c r="G182" s="33" t="s">
        <v>212</v>
      </c>
      <c r="H182" s="33" t="s">
        <v>315</v>
      </c>
      <c r="I182" s="61">
        <v>7.239721783952513</v>
      </c>
      <c r="J182" s="33">
        <v>0</v>
      </c>
      <c r="K182" s="49">
        <v>-25.377798861114755</v>
      </c>
      <c r="L182" s="60">
        <v>12</v>
      </c>
      <c r="M182" s="69">
        <v>70.77940657933452</v>
      </c>
      <c r="N182" s="70">
        <v>38.476465847514056</v>
      </c>
    </row>
    <row r="183" spans="1:14" x14ac:dyDescent="0.25">
      <c r="A183" s="32" t="s">
        <v>330</v>
      </c>
      <c r="B183" s="33" t="s">
        <v>226</v>
      </c>
      <c r="C183" s="33" t="s">
        <v>203</v>
      </c>
      <c r="D183" s="33" t="s">
        <v>314</v>
      </c>
      <c r="E183" s="33" t="s">
        <v>205</v>
      </c>
      <c r="F183" s="33" t="s">
        <v>214</v>
      </c>
      <c r="G183" s="33" t="s">
        <v>207</v>
      </c>
      <c r="H183" s="33" t="s">
        <v>315</v>
      </c>
      <c r="I183" s="61">
        <v>6.4257980460961415</v>
      </c>
      <c r="J183" s="33">
        <v>0</v>
      </c>
      <c r="K183" s="49">
        <v>-9.461512456464801</v>
      </c>
      <c r="L183" s="60">
        <v>12</v>
      </c>
      <c r="M183" s="69">
        <v>31.157533069908258</v>
      </c>
      <c r="N183" s="70">
        <v>26.142638710124452</v>
      </c>
    </row>
    <row r="184" spans="1:14" x14ac:dyDescent="0.25">
      <c r="A184" s="32" t="s">
        <v>331</v>
      </c>
      <c r="B184" s="33" t="s">
        <v>226</v>
      </c>
      <c r="C184" s="33" t="s">
        <v>203</v>
      </c>
      <c r="D184" s="33" t="s">
        <v>314</v>
      </c>
      <c r="E184" s="33" t="s">
        <v>205</v>
      </c>
      <c r="F184" s="33" t="s">
        <v>214</v>
      </c>
      <c r="G184" s="33" t="s">
        <v>210</v>
      </c>
      <c r="H184" s="33" t="s">
        <v>315</v>
      </c>
      <c r="I184" s="61">
        <v>11.092048456076391</v>
      </c>
      <c r="J184" s="33">
        <v>0</v>
      </c>
      <c r="K184" s="49">
        <v>-11.104882345972873</v>
      </c>
      <c r="L184" s="60">
        <v>12</v>
      </c>
      <c r="M184" s="69">
        <v>57.834070858544294</v>
      </c>
      <c r="N184" s="70">
        <v>46.69652854457788</v>
      </c>
    </row>
    <row r="185" spans="1:14" x14ac:dyDescent="0.25">
      <c r="A185" s="32" t="s">
        <v>332</v>
      </c>
      <c r="B185" s="33" t="s">
        <v>226</v>
      </c>
      <c r="C185" s="33" t="s">
        <v>203</v>
      </c>
      <c r="D185" s="33" t="s">
        <v>314</v>
      </c>
      <c r="E185" s="33" t="s">
        <v>205</v>
      </c>
      <c r="F185" s="33" t="s">
        <v>214</v>
      </c>
      <c r="G185" s="33" t="s">
        <v>212</v>
      </c>
      <c r="H185" s="33" t="s">
        <v>315</v>
      </c>
      <c r="I185" s="61">
        <v>11.548342558515809</v>
      </c>
      <c r="J185" s="33">
        <v>0</v>
      </c>
      <c r="K185" s="49">
        <v>-15.136420748975921</v>
      </c>
      <c r="L185" s="60">
        <v>12</v>
      </c>
      <c r="M185" s="69">
        <v>92.233704220447123</v>
      </c>
      <c r="N185" s="70">
        <v>60.099712982594269</v>
      </c>
    </row>
    <row r="186" spans="1:14" x14ac:dyDescent="0.25">
      <c r="A186" s="32" t="s">
        <v>333</v>
      </c>
      <c r="B186" s="33" t="s">
        <v>226</v>
      </c>
      <c r="C186" s="33" t="s">
        <v>203</v>
      </c>
      <c r="D186" s="33" t="s">
        <v>314</v>
      </c>
      <c r="E186" s="33" t="s">
        <v>205</v>
      </c>
      <c r="F186" s="33" t="s">
        <v>218</v>
      </c>
      <c r="G186" s="33" t="s">
        <v>207</v>
      </c>
      <c r="H186" s="33" t="s">
        <v>315</v>
      </c>
      <c r="I186" s="61">
        <v>8.1218676321207077</v>
      </c>
      <c r="J186" s="33">
        <v>0</v>
      </c>
      <c r="K186" s="49">
        <v>-15.498909730743796</v>
      </c>
      <c r="L186" s="60">
        <v>12</v>
      </c>
      <c r="M186" s="69">
        <v>44.656901506544322</v>
      </c>
      <c r="N186" s="70">
        <v>42.88122041914044</v>
      </c>
    </row>
    <row r="187" spans="1:14" x14ac:dyDescent="0.25">
      <c r="A187" s="32" t="s">
        <v>334</v>
      </c>
      <c r="B187" s="33" t="s">
        <v>226</v>
      </c>
      <c r="C187" s="33" t="s">
        <v>203</v>
      </c>
      <c r="D187" s="33" t="s">
        <v>314</v>
      </c>
      <c r="E187" s="33" t="s">
        <v>205</v>
      </c>
      <c r="F187" s="33" t="s">
        <v>218</v>
      </c>
      <c r="G187" s="33" t="s">
        <v>210</v>
      </c>
      <c r="H187" s="33" t="s">
        <v>315</v>
      </c>
      <c r="I187" s="61">
        <v>12.412266531457483</v>
      </c>
      <c r="J187" s="33">
        <v>0</v>
      </c>
      <c r="K187" s="49">
        <v>-17.667029910550983</v>
      </c>
      <c r="L187" s="60">
        <v>12</v>
      </c>
      <c r="M187" s="69">
        <v>47.808434591248492</v>
      </c>
      <c r="N187" s="70">
        <v>24.670525010686376</v>
      </c>
    </row>
    <row r="188" spans="1:14" x14ac:dyDescent="0.25">
      <c r="A188" s="32" t="s">
        <v>335</v>
      </c>
      <c r="B188" s="33" t="s">
        <v>226</v>
      </c>
      <c r="C188" s="33" t="s">
        <v>203</v>
      </c>
      <c r="D188" s="33" t="s">
        <v>314</v>
      </c>
      <c r="E188" s="33" t="s">
        <v>205</v>
      </c>
      <c r="F188" s="33" t="s">
        <v>218</v>
      </c>
      <c r="G188" s="33" t="s">
        <v>212</v>
      </c>
      <c r="H188" s="33" t="s">
        <v>315</v>
      </c>
      <c r="I188" s="61">
        <v>10.089308238488471</v>
      </c>
      <c r="J188" s="33">
        <v>0</v>
      </c>
      <c r="K188" s="49">
        <v>-20.86302360435943</v>
      </c>
      <c r="L188" s="60">
        <v>12</v>
      </c>
      <c r="M188" s="69">
        <v>65.874501505375818</v>
      </c>
      <c r="N188" s="70">
        <v>65.874501505375818</v>
      </c>
    </row>
    <row r="189" spans="1:14" x14ac:dyDescent="0.25">
      <c r="A189" s="32" t="s">
        <v>336</v>
      </c>
      <c r="B189" s="33" t="s">
        <v>226</v>
      </c>
      <c r="C189" s="33" t="s">
        <v>203</v>
      </c>
      <c r="D189" s="33" t="s">
        <v>314</v>
      </c>
      <c r="E189" s="33" t="s">
        <v>205</v>
      </c>
      <c r="F189" s="33" t="s">
        <v>222</v>
      </c>
      <c r="G189" s="33" t="s">
        <v>207</v>
      </c>
      <c r="H189" s="33" t="s">
        <v>315</v>
      </c>
      <c r="I189" s="61">
        <v>9.5276412463718767</v>
      </c>
      <c r="J189" s="33">
        <v>0</v>
      </c>
      <c r="K189" s="49">
        <v>-35.666051470970217</v>
      </c>
      <c r="L189" s="60">
        <v>11.999999999999998</v>
      </c>
      <c r="M189" s="69">
        <v>61.606753348642876</v>
      </c>
      <c r="N189" s="70">
        <v>56.387925866901426</v>
      </c>
    </row>
    <row r="190" spans="1:14" x14ac:dyDescent="0.25">
      <c r="A190" s="32" t="s">
        <v>337</v>
      </c>
      <c r="B190" s="33" t="s">
        <v>226</v>
      </c>
      <c r="C190" s="33" t="s">
        <v>203</v>
      </c>
      <c r="D190" s="33" t="s">
        <v>314</v>
      </c>
      <c r="E190" s="33" t="s">
        <v>205</v>
      </c>
      <c r="F190" s="33" t="s">
        <v>222</v>
      </c>
      <c r="G190" s="33" t="s">
        <v>210</v>
      </c>
      <c r="H190" s="33" t="s">
        <v>315</v>
      </c>
      <c r="I190" s="61">
        <v>14.691690543167578</v>
      </c>
      <c r="J190" s="33">
        <v>0</v>
      </c>
      <c r="K190" s="49">
        <v>-52.248697728422691</v>
      </c>
      <c r="L190" s="60">
        <v>12</v>
      </c>
      <c r="M190" s="69">
        <v>65.931158813716038</v>
      </c>
      <c r="N190" s="70">
        <v>61.503256277003828</v>
      </c>
    </row>
    <row r="191" spans="1:14" x14ac:dyDescent="0.25">
      <c r="A191" s="32" t="s">
        <v>338</v>
      </c>
      <c r="B191" s="33" t="s">
        <v>226</v>
      </c>
      <c r="C191" s="33" t="s">
        <v>203</v>
      </c>
      <c r="D191" s="33" t="s">
        <v>314</v>
      </c>
      <c r="E191" s="33" t="s">
        <v>205</v>
      </c>
      <c r="F191" s="33" t="s">
        <v>222</v>
      </c>
      <c r="G191" s="33" t="s">
        <v>212</v>
      </c>
      <c r="H191" s="33" t="s">
        <v>315</v>
      </c>
      <c r="I191" s="61">
        <v>12.949112163117441</v>
      </c>
      <c r="J191" s="33">
        <v>0</v>
      </c>
      <c r="K191" s="49">
        <v>-20.723760462765814</v>
      </c>
      <c r="L191" s="60">
        <v>12</v>
      </c>
      <c r="M191" s="69">
        <v>96.786179649312515</v>
      </c>
      <c r="N191" s="70">
        <v>56.076592353890042</v>
      </c>
    </row>
    <row r="192" spans="1:14" x14ac:dyDescent="0.25">
      <c r="A192" s="32" t="s">
        <v>339</v>
      </c>
      <c r="B192" s="33" t="s">
        <v>202</v>
      </c>
      <c r="C192" s="33" t="s">
        <v>203</v>
      </c>
      <c r="D192" s="33" t="s">
        <v>340</v>
      </c>
      <c r="E192" s="33" t="s">
        <v>205</v>
      </c>
      <c r="F192" s="33" t="s">
        <v>206</v>
      </c>
      <c r="G192" s="33" t="s">
        <v>207</v>
      </c>
      <c r="H192" s="33" t="s">
        <v>315</v>
      </c>
      <c r="I192" s="61">
        <v>3.4686332327965768</v>
      </c>
      <c r="J192" s="33">
        <v>0</v>
      </c>
      <c r="K192" s="49">
        <v>-5.8174855677301398</v>
      </c>
      <c r="L192" s="60">
        <v>6.0858668385481112</v>
      </c>
      <c r="M192" s="69">
        <v>41.887274773283032</v>
      </c>
      <c r="N192" s="70">
        <v>40.420317411688828</v>
      </c>
    </row>
    <row r="193" spans="1:14" x14ac:dyDescent="0.25">
      <c r="A193" s="32" t="s">
        <v>341</v>
      </c>
      <c r="B193" s="33" t="s">
        <v>202</v>
      </c>
      <c r="C193" s="33" t="s">
        <v>203</v>
      </c>
      <c r="D193" s="33" t="s">
        <v>340</v>
      </c>
      <c r="E193" s="33" t="s">
        <v>205</v>
      </c>
      <c r="F193" s="33" t="s">
        <v>206</v>
      </c>
      <c r="G193" s="33" t="s">
        <v>210</v>
      </c>
      <c r="H193" s="33" t="s">
        <v>315</v>
      </c>
      <c r="I193" s="61">
        <v>4.139746296363656</v>
      </c>
      <c r="J193" s="33">
        <v>0</v>
      </c>
      <c r="K193" s="49">
        <v>-18.652855629317393</v>
      </c>
      <c r="L193" s="60">
        <v>5.4733479296697238</v>
      </c>
      <c r="M193" s="69">
        <v>35.853423719772131</v>
      </c>
      <c r="N193" s="70">
        <v>35.853423719772131</v>
      </c>
    </row>
    <row r="194" spans="1:14" x14ac:dyDescent="0.25">
      <c r="A194" s="32" t="s">
        <v>342</v>
      </c>
      <c r="B194" s="33" t="s">
        <v>202</v>
      </c>
      <c r="C194" s="33" t="s">
        <v>203</v>
      </c>
      <c r="D194" s="33" t="s">
        <v>340</v>
      </c>
      <c r="E194" s="33" t="s">
        <v>205</v>
      </c>
      <c r="F194" s="33" t="s">
        <v>206</v>
      </c>
      <c r="G194" s="33" t="s">
        <v>212</v>
      </c>
      <c r="H194" s="33" t="s">
        <v>315</v>
      </c>
      <c r="I194" s="61">
        <v>4.2902403610210254</v>
      </c>
      <c r="J194" s="33">
        <v>0</v>
      </c>
      <c r="K194" s="49">
        <v>-18.658594299666017</v>
      </c>
      <c r="L194" s="60">
        <v>5.628516992147647</v>
      </c>
      <c r="M194" s="69">
        <v>54.875521064335807</v>
      </c>
      <c r="N194" s="70">
        <v>27.667666413339401</v>
      </c>
    </row>
    <row r="195" spans="1:14" x14ac:dyDescent="0.25">
      <c r="A195" s="32" t="s">
        <v>343</v>
      </c>
      <c r="B195" s="33" t="s">
        <v>202</v>
      </c>
      <c r="C195" s="33" t="s">
        <v>203</v>
      </c>
      <c r="D195" s="33" t="s">
        <v>340</v>
      </c>
      <c r="E195" s="33" t="s">
        <v>205</v>
      </c>
      <c r="F195" s="33" t="s">
        <v>214</v>
      </c>
      <c r="G195" s="33" t="s">
        <v>207</v>
      </c>
      <c r="H195" s="33" t="s">
        <v>315</v>
      </c>
      <c r="I195" s="61">
        <v>3.5054800656318856</v>
      </c>
      <c r="J195" s="33">
        <v>0</v>
      </c>
      <c r="K195" s="49">
        <v>-5.7609116368440674</v>
      </c>
      <c r="L195" s="60">
        <v>5.965088738310298</v>
      </c>
      <c r="M195" s="69">
        <v>23.164812346206833</v>
      </c>
      <c r="N195" s="70">
        <v>19.166426309717323</v>
      </c>
    </row>
    <row r="196" spans="1:14" x14ac:dyDescent="0.25">
      <c r="A196" s="32" t="s">
        <v>344</v>
      </c>
      <c r="B196" s="33" t="s">
        <v>202</v>
      </c>
      <c r="C196" s="33" t="s">
        <v>203</v>
      </c>
      <c r="D196" s="33" t="s">
        <v>340</v>
      </c>
      <c r="E196" s="33" t="s">
        <v>205</v>
      </c>
      <c r="F196" s="33" t="s">
        <v>214</v>
      </c>
      <c r="G196" s="33" t="s">
        <v>210</v>
      </c>
      <c r="H196" s="33" t="s">
        <v>315</v>
      </c>
      <c r="I196" s="61">
        <v>3.7204586186159632</v>
      </c>
      <c r="J196" s="33">
        <v>0</v>
      </c>
      <c r="K196" s="49">
        <v>-6.4098761943749425</v>
      </c>
      <c r="L196" s="60">
        <v>6.0936391287811356</v>
      </c>
      <c r="M196" s="69">
        <v>40.873016631318421</v>
      </c>
      <c r="N196" s="70">
        <v>32.141142968659224</v>
      </c>
    </row>
    <row r="197" spans="1:14" x14ac:dyDescent="0.25">
      <c r="A197" s="32" t="s">
        <v>345</v>
      </c>
      <c r="B197" s="33" t="s">
        <v>202</v>
      </c>
      <c r="C197" s="33" t="s">
        <v>203</v>
      </c>
      <c r="D197" s="33" t="s">
        <v>340</v>
      </c>
      <c r="E197" s="33" t="s">
        <v>205</v>
      </c>
      <c r="F197" s="33" t="s">
        <v>214</v>
      </c>
      <c r="G197" s="33" t="s">
        <v>212</v>
      </c>
      <c r="H197" s="33" t="s">
        <v>315</v>
      </c>
      <c r="I197" s="61">
        <v>4.036359745245413</v>
      </c>
      <c r="J197" s="33">
        <v>0</v>
      </c>
      <c r="K197" s="49">
        <v>-8.9058062233927373</v>
      </c>
      <c r="L197" s="60">
        <v>6.2218825986565554</v>
      </c>
      <c r="M197" s="69">
        <v>62.02717268359919</v>
      </c>
      <c r="N197" s="70">
        <v>37.661605145157978</v>
      </c>
    </row>
    <row r="198" spans="1:14" x14ac:dyDescent="0.25">
      <c r="A198" s="32" t="s">
        <v>346</v>
      </c>
      <c r="B198" s="33" t="s">
        <v>202</v>
      </c>
      <c r="C198" s="33" t="s">
        <v>203</v>
      </c>
      <c r="D198" s="33" t="s">
        <v>340</v>
      </c>
      <c r="E198" s="33" t="s">
        <v>205</v>
      </c>
      <c r="F198" s="33" t="s">
        <v>218</v>
      </c>
      <c r="G198" s="33" t="s">
        <v>207</v>
      </c>
      <c r="H198" s="33" t="s">
        <v>315</v>
      </c>
      <c r="I198" s="61">
        <v>4.4395381959802771</v>
      </c>
      <c r="J198" s="33">
        <v>0</v>
      </c>
      <c r="K198" s="49">
        <v>-7.3274294049398456</v>
      </c>
      <c r="L198" s="60">
        <v>5.6819604171444427</v>
      </c>
      <c r="M198" s="69">
        <v>37.680734561470075</v>
      </c>
      <c r="N198" s="70">
        <v>36.0324719115006</v>
      </c>
    </row>
    <row r="199" spans="1:14" x14ac:dyDescent="0.25">
      <c r="A199" s="32" t="s">
        <v>347</v>
      </c>
      <c r="B199" s="33" t="s">
        <v>202</v>
      </c>
      <c r="C199" s="33" t="s">
        <v>203</v>
      </c>
      <c r="D199" s="33" t="s">
        <v>340</v>
      </c>
      <c r="E199" s="33" t="s">
        <v>205</v>
      </c>
      <c r="F199" s="33" t="s">
        <v>218</v>
      </c>
      <c r="G199" s="33" t="s">
        <v>210</v>
      </c>
      <c r="H199" s="33" t="s">
        <v>315</v>
      </c>
      <c r="I199" s="61">
        <v>4.7780751100412235</v>
      </c>
      <c r="J199" s="33">
        <v>0</v>
      </c>
      <c r="K199" s="49">
        <v>-10.362112538210846</v>
      </c>
      <c r="L199" s="60">
        <v>5.7404335927787002</v>
      </c>
      <c r="M199" s="69">
        <v>38.010430605398312</v>
      </c>
      <c r="N199" s="70">
        <v>18.901972603323316</v>
      </c>
    </row>
    <row r="200" spans="1:14" x14ac:dyDescent="0.25">
      <c r="A200" s="32" t="s">
        <v>348</v>
      </c>
      <c r="B200" s="33" t="s">
        <v>202</v>
      </c>
      <c r="C200" s="33" t="s">
        <v>203</v>
      </c>
      <c r="D200" s="33" t="s">
        <v>340</v>
      </c>
      <c r="E200" s="33" t="s">
        <v>205</v>
      </c>
      <c r="F200" s="33" t="s">
        <v>218</v>
      </c>
      <c r="G200" s="33" t="s">
        <v>212</v>
      </c>
      <c r="H200" s="33" t="s">
        <v>315</v>
      </c>
      <c r="I200" s="61">
        <v>4.5002557902044806</v>
      </c>
      <c r="J200" s="33">
        <v>0</v>
      </c>
      <c r="K200" s="49">
        <v>-13.707484671523112</v>
      </c>
      <c r="L200" s="60">
        <v>5.5306414443618541</v>
      </c>
      <c r="M200" s="69">
        <v>46.018707123340207</v>
      </c>
      <c r="N200" s="70">
        <v>46.018707123340207</v>
      </c>
    </row>
    <row r="201" spans="1:14" x14ac:dyDescent="0.25">
      <c r="A201" s="32" t="s">
        <v>349</v>
      </c>
      <c r="B201" s="33" t="s">
        <v>202</v>
      </c>
      <c r="C201" s="33" t="s">
        <v>203</v>
      </c>
      <c r="D201" s="33" t="s">
        <v>340</v>
      </c>
      <c r="E201" s="33" t="s">
        <v>205</v>
      </c>
      <c r="F201" s="33" t="s">
        <v>222</v>
      </c>
      <c r="G201" s="33" t="s">
        <v>207</v>
      </c>
      <c r="H201" s="33" t="s">
        <v>315</v>
      </c>
      <c r="I201" s="61">
        <v>4.8785848967015815</v>
      </c>
      <c r="J201" s="33">
        <v>0</v>
      </c>
      <c r="K201" s="49">
        <v>-18.410597756400144</v>
      </c>
      <c r="L201" s="60">
        <v>5.7011795907697049</v>
      </c>
      <c r="M201" s="69">
        <v>47.391327418753072</v>
      </c>
      <c r="N201" s="70">
        <v>43.053633653064509</v>
      </c>
    </row>
    <row r="202" spans="1:14" x14ac:dyDescent="0.25">
      <c r="A202" s="32" t="s">
        <v>350</v>
      </c>
      <c r="B202" s="33" t="s">
        <v>202</v>
      </c>
      <c r="C202" s="33" t="s">
        <v>203</v>
      </c>
      <c r="D202" s="33" t="s">
        <v>340</v>
      </c>
      <c r="E202" s="33" t="s">
        <v>205</v>
      </c>
      <c r="F202" s="33" t="s">
        <v>222</v>
      </c>
      <c r="G202" s="33" t="s">
        <v>210</v>
      </c>
      <c r="H202" s="33" t="s">
        <v>315</v>
      </c>
      <c r="I202" s="61">
        <v>5.8678983963288465</v>
      </c>
      <c r="J202" s="33">
        <v>0</v>
      </c>
      <c r="K202" s="49">
        <v>-26.117746648184738</v>
      </c>
      <c r="L202" s="60">
        <v>5.6652125201216599</v>
      </c>
      <c r="M202" s="69">
        <v>47.991018057326002</v>
      </c>
      <c r="N202" s="70">
        <v>44.285678042369746</v>
      </c>
    </row>
    <row r="203" spans="1:14" x14ac:dyDescent="0.25">
      <c r="A203" s="32" t="s">
        <v>351</v>
      </c>
      <c r="B203" s="33" t="s">
        <v>202</v>
      </c>
      <c r="C203" s="33" t="s">
        <v>203</v>
      </c>
      <c r="D203" s="33" t="s">
        <v>340</v>
      </c>
      <c r="E203" s="33" t="s">
        <v>205</v>
      </c>
      <c r="F203" s="33" t="s">
        <v>222</v>
      </c>
      <c r="G203" s="33" t="s">
        <v>212</v>
      </c>
      <c r="H203" s="33" t="s">
        <v>315</v>
      </c>
      <c r="I203" s="61">
        <v>3.3529517846344143</v>
      </c>
      <c r="J203" s="33">
        <v>0</v>
      </c>
      <c r="K203" s="49">
        <v>-14.11784405842103</v>
      </c>
      <c r="L203" s="60">
        <v>5.6741625257197379</v>
      </c>
      <c r="M203" s="69">
        <v>74.115004180559936</v>
      </c>
      <c r="N203" s="70">
        <v>40.102301068953281</v>
      </c>
    </row>
    <row r="204" spans="1:14" x14ac:dyDescent="0.25">
      <c r="A204" s="32" t="s">
        <v>352</v>
      </c>
      <c r="B204" s="33" t="s">
        <v>226</v>
      </c>
      <c r="C204" s="33" t="s">
        <v>203</v>
      </c>
      <c r="D204" s="33" t="s">
        <v>340</v>
      </c>
      <c r="E204" s="33" t="s">
        <v>205</v>
      </c>
      <c r="F204" s="33" t="s">
        <v>206</v>
      </c>
      <c r="G204" s="33" t="s">
        <v>207</v>
      </c>
      <c r="H204" s="33" t="s">
        <v>315</v>
      </c>
      <c r="I204" s="61">
        <v>9.0023318456431518</v>
      </c>
      <c r="J204" s="33">
        <v>0</v>
      </c>
      <c r="K204" s="49">
        <v>-10.90318730800681</v>
      </c>
      <c r="L204" s="60">
        <v>12</v>
      </c>
      <c r="M204" s="69">
        <v>43.607639785711719</v>
      </c>
      <c r="N204" s="70">
        <v>42.140682424117514</v>
      </c>
    </row>
    <row r="205" spans="1:14" x14ac:dyDescent="0.25">
      <c r="A205" s="32" t="s">
        <v>353</v>
      </c>
      <c r="B205" s="33" t="s">
        <v>226</v>
      </c>
      <c r="C205" s="33" t="s">
        <v>203</v>
      </c>
      <c r="D205" s="33" t="s">
        <v>340</v>
      </c>
      <c r="E205" s="33" t="s">
        <v>205</v>
      </c>
      <c r="F205" s="33" t="s">
        <v>206</v>
      </c>
      <c r="G205" s="33" t="s">
        <v>210</v>
      </c>
      <c r="H205" s="33" t="s">
        <v>315</v>
      </c>
      <c r="I205" s="61">
        <v>7.239721783952513</v>
      </c>
      <c r="J205" s="33">
        <v>0</v>
      </c>
      <c r="K205" s="49">
        <v>-23.237323590912368</v>
      </c>
      <c r="L205" s="60">
        <v>12</v>
      </c>
      <c r="M205" s="69">
        <v>39.346815016016755</v>
      </c>
      <c r="N205" s="70">
        <v>39.346815016016755</v>
      </c>
    </row>
    <row r="206" spans="1:14" x14ac:dyDescent="0.25">
      <c r="A206" s="32" t="s">
        <v>354</v>
      </c>
      <c r="B206" s="33" t="s">
        <v>226</v>
      </c>
      <c r="C206" s="33" t="s">
        <v>203</v>
      </c>
      <c r="D206" s="33" t="s">
        <v>340</v>
      </c>
      <c r="E206" s="33" t="s">
        <v>205</v>
      </c>
      <c r="F206" s="33" t="s">
        <v>206</v>
      </c>
      <c r="G206" s="33" t="s">
        <v>212</v>
      </c>
      <c r="H206" s="33" t="s">
        <v>315</v>
      </c>
      <c r="I206" s="61">
        <v>7.239721783952513</v>
      </c>
      <c r="J206" s="33">
        <v>0</v>
      </c>
      <c r="K206" s="49">
        <v>-22.958131164364229</v>
      </c>
      <c r="L206" s="60">
        <v>12</v>
      </c>
      <c r="M206" s="69">
        <v>59.615495148939168</v>
      </c>
      <c r="N206" s="70">
        <v>32.407640497942765</v>
      </c>
    </row>
    <row r="207" spans="1:14" x14ac:dyDescent="0.25">
      <c r="A207" s="32" t="s">
        <v>355</v>
      </c>
      <c r="B207" s="33" t="s">
        <v>226</v>
      </c>
      <c r="C207" s="33" t="s">
        <v>203</v>
      </c>
      <c r="D207" s="33" t="s">
        <v>340</v>
      </c>
      <c r="E207" s="33" t="s">
        <v>205</v>
      </c>
      <c r="F207" s="33" t="s">
        <v>214</v>
      </c>
      <c r="G207" s="33" t="s">
        <v>207</v>
      </c>
      <c r="H207" s="33" t="s">
        <v>315</v>
      </c>
      <c r="I207" s="61">
        <v>6.4257980460961415</v>
      </c>
      <c r="J207" s="33">
        <v>0</v>
      </c>
      <c r="K207" s="49">
        <v>-8.4903278927286614</v>
      </c>
      <c r="L207" s="60">
        <v>12</v>
      </c>
      <c r="M207" s="69">
        <v>25.547707055665938</v>
      </c>
      <c r="N207" s="70">
        <v>21.549321019176432</v>
      </c>
    </row>
    <row r="208" spans="1:14" x14ac:dyDescent="0.25">
      <c r="A208" s="32" t="s">
        <v>356</v>
      </c>
      <c r="B208" s="33" t="s">
        <v>226</v>
      </c>
      <c r="C208" s="33" t="s">
        <v>203</v>
      </c>
      <c r="D208" s="33" t="s">
        <v>340</v>
      </c>
      <c r="E208" s="33" t="s">
        <v>205</v>
      </c>
      <c r="F208" s="33" t="s">
        <v>214</v>
      </c>
      <c r="G208" s="33" t="s">
        <v>210</v>
      </c>
      <c r="H208" s="33" t="s">
        <v>315</v>
      </c>
      <c r="I208" s="61">
        <v>11.092048456076391</v>
      </c>
      <c r="J208" s="33">
        <v>0</v>
      </c>
      <c r="K208" s="49">
        <v>-9.9131023757995571</v>
      </c>
      <c r="L208" s="60">
        <v>12</v>
      </c>
      <c r="M208" s="69">
        <v>44.56923326343577</v>
      </c>
      <c r="N208" s="70">
        <v>35.837359600776573</v>
      </c>
    </row>
    <row r="209" spans="1:14" x14ac:dyDescent="0.25">
      <c r="A209" s="32" t="s">
        <v>357</v>
      </c>
      <c r="B209" s="33" t="s">
        <v>226</v>
      </c>
      <c r="C209" s="33" t="s">
        <v>203</v>
      </c>
      <c r="D209" s="33" t="s">
        <v>340</v>
      </c>
      <c r="E209" s="33" t="s">
        <v>205</v>
      </c>
      <c r="F209" s="33" t="s">
        <v>214</v>
      </c>
      <c r="G209" s="33" t="s">
        <v>212</v>
      </c>
      <c r="H209" s="33" t="s">
        <v>315</v>
      </c>
      <c r="I209" s="61">
        <v>11.548342558515809</v>
      </c>
      <c r="J209" s="33">
        <v>0</v>
      </c>
      <c r="K209" s="49">
        <v>-13.013522168962258</v>
      </c>
      <c r="L209" s="60">
        <v>12</v>
      </c>
      <c r="M209" s="69">
        <v>69.587775558703669</v>
      </c>
      <c r="N209" s="70">
        <v>45.222208020262457</v>
      </c>
    </row>
    <row r="210" spans="1:14" x14ac:dyDescent="0.25">
      <c r="A210" s="32" t="s">
        <v>358</v>
      </c>
      <c r="B210" s="33" t="s">
        <v>226</v>
      </c>
      <c r="C210" s="33" t="s">
        <v>203</v>
      </c>
      <c r="D210" s="33" t="s">
        <v>340</v>
      </c>
      <c r="E210" s="33" t="s">
        <v>205</v>
      </c>
      <c r="F210" s="33" t="s">
        <v>218</v>
      </c>
      <c r="G210" s="33" t="s">
        <v>207</v>
      </c>
      <c r="H210" s="33" t="s">
        <v>315</v>
      </c>
      <c r="I210" s="61">
        <v>8.1218676321207077</v>
      </c>
      <c r="J210" s="33">
        <v>0</v>
      </c>
      <c r="K210" s="49">
        <v>-15.359950909901862</v>
      </c>
      <c r="L210" s="60">
        <v>12</v>
      </c>
      <c r="M210" s="69">
        <v>37.683185488384758</v>
      </c>
      <c r="N210" s="70">
        <v>36.034922838415277</v>
      </c>
    </row>
    <row r="211" spans="1:14" x14ac:dyDescent="0.25">
      <c r="A211" s="32" t="s">
        <v>359</v>
      </c>
      <c r="B211" s="33" t="s">
        <v>226</v>
      </c>
      <c r="C211" s="33" t="s">
        <v>203</v>
      </c>
      <c r="D211" s="33" t="s">
        <v>340</v>
      </c>
      <c r="E211" s="33" t="s">
        <v>205</v>
      </c>
      <c r="F211" s="33" t="s">
        <v>218</v>
      </c>
      <c r="G211" s="33" t="s">
        <v>210</v>
      </c>
      <c r="H211" s="33" t="s">
        <v>315</v>
      </c>
      <c r="I211" s="61">
        <v>12.412266531457483</v>
      </c>
      <c r="J211" s="33">
        <v>0</v>
      </c>
      <c r="K211" s="49">
        <v>-16.736388488723858</v>
      </c>
      <c r="L211" s="60">
        <v>12</v>
      </c>
      <c r="M211" s="69">
        <v>39.482627475529597</v>
      </c>
      <c r="N211" s="70">
        <v>20.3741694734546</v>
      </c>
    </row>
    <row r="212" spans="1:14" x14ac:dyDescent="0.25">
      <c r="A212" s="32" t="s">
        <v>360</v>
      </c>
      <c r="B212" s="33" t="s">
        <v>226</v>
      </c>
      <c r="C212" s="33" t="s">
        <v>203</v>
      </c>
      <c r="D212" s="33" t="s">
        <v>340</v>
      </c>
      <c r="E212" s="33" t="s">
        <v>205</v>
      </c>
      <c r="F212" s="33" t="s">
        <v>218</v>
      </c>
      <c r="G212" s="33" t="s">
        <v>212</v>
      </c>
      <c r="H212" s="33" t="s">
        <v>315</v>
      </c>
      <c r="I212" s="61">
        <v>10.089308238488471</v>
      </c>
      <c r="J212" s="33">
        <v>0</v>
      </c>
      <c r="K212" s="49">
        <v>-18.815612476339755</v>
      </c>
      <c r="L212" s="60">
        <v>12</v>
      </c>
      <c r="M212" s="69">
        <v>56.466134444331892</v>
      </c>
      <c r="N212" s="70">
        <v>56.466134444331892</v>
      </c>
    </row>
    <row r="213" spans="1:14" x14ac:dyDescent="0.25">
      <c r="A213" s="32" t="s">
        <v>361</v>
      </c>
      <c r="B213" s="33" t="s">
        <v>226</v>
      </c>
      <c r="C213" s="33" t="s">
        <v>203</v>
      </c>
      <c r="D213" s="33" t="s">
        <v>340</v>
      </c>
      <c r="E213" s="33" t="s">
        <v>205</v>
      </c>
      <c r="F213" s="33" t="s">
        <v>222</v>
      </c>
      <c r="G213" s="33" t="s">
        <v>207</v>
      </c>
      <c r="H213" s="33" t="s">
        <v>315</v>
      </c>
      <c r="I213" s="61">
        <v>9.5276412463718767</v>
      </c>
      <c r="J213" s="33">
        <v>0</v>
      </c>
      <c r="K213" s="49">
        <v>-34.628113829575462</v>
      </c>
      <c r="L213" s="60">
        <v>11.999999999999998</v>
      </c>
      <c r="M213" s="69">
        <v>51.215243041392661</v>
      </c>
      <c r="N213" s="70">
        <v>46.877549275704105</v>
      </c>
    </row>
    <row r="214" spans="1:14" x14ac:dyDescent="0.25">
      <c r="A214" s="32" t="s">
        <v>362</v>
      </c>
      <c r="B214" s="33" t="s">
        <v>226</v>
      </c>
      <c r="C214" s="33" t="s">
        <v>203</v>
      </c>
      <c r="D214" s="33" t="s">
        <v>340</v>
      </c>
      <c r="E214" s="33" t="s">
        <v>205</v>
      </c>
      <c r="F214" s="33" t="s">
        <v>222</v>
      </c>
      <c r="G214" s="33" t="s">
        <v>210</v>
      </c>
      <c r="H214" s="33" t="s">
        <v>315</v>
      </c>
      <c r="I214" s="61">
        <v>14.691690543167578</v>
      </c>
      <c r="J214" s="33">
        <v>0</v>
      </c>
      <c r="K214" s="49">
        <v>-50.480479026951159</v>
      </c>
      <c r="L214" s="60">
        <v>12</v>
      </c>
      <c r="M214" s="69">
        <v>55.17225344492185</v>
      </c>
      <c r="N214" s="70">
        <v>51.466913429965587</v>
      </c>
    </row>
    <row r="215" spans="1:14" x14ac:dyDescent="0.25">
      <c r="A215" s="32" t="s">
        <v>363</v>
      </c>
      <c r="B215" s="33" t="s">
        <v>226</v>
      </c>
      <c r="C215" s="33" t="s">
        <v>203</v>
      </c>
      <c r="D215" s="33" t="s">
        <v>340</v>
      </c>
      <c r="E215" s="33" t="s">
        <v>205</v>
      </c>
      <c r="F215" s="33" t="s">
        <v>222</v>
      </c>
      <c r="G215" s="33" t="s">
        <v>212</v>
      </c>
      <c r="H215" s="33" t="s">
        <v>315</v>
      </c>
      <c r="I215" s="61">
        <v>12.949112163117441</v>
      </c>
      <c r="J215" s="33">
        <v>0</v>
      </c>
      <c r="K215" s="49">
        <v>-18.955541761294278</v>
      </c>
      <c r="L215" s="60">
        <v>12</v>
      </c>
      <c r="M215" s="69">
        <v>80.864479657568396</v>
      </c>
      <c r="N215" s="70">
        <v>46.851776545961712</v>
      </c>
    </row>
    <row r="216" spans="1:14" x14ac:dyDescent="0.25">
      <c r="A216" s="32" t="s">
        <v>364</v>
      </c>
      <c r="B216" s="33" t="s">
        <v>202</v>
      </c>
      <c r="C216" s="33" t="s">
        <v>203</v>
      </c>
      <c r="D216" s="33" t="s">
        <v>365</v>
      </c>
      <c r="E216" s="33" t="s">
        <v>205</v>
      </c>
      <c r="F216" s="33" t="s">
        <v>206</v>
      </c>
      <c r="G216" s="33" t="s">
        <v>207</v>
      </c>
      <c r="H216" s="33" t="s">
        <v>315</v>
      </c>
      <c r="I216" s="61">
        <v>3.4686332327965768</v>
      </c>
      <c r="J216" s="33">
        <v>0</v>
      </c>
      <c r="K216" s="49">
        <v>-3.9124080987262322</v>
      </c>
      <c r="L216" s="60">
        <v>8.101587422760451</v>
      </c>
      <c r="M216" s="69">
        <v>20.875582429066352</v>
      </c>
      <c r="N216" s="70">
        <v>20.621707797290032</v>
      </c>
    </row>
    <row r="217" spans="1:14" x14ac:dyDescent="0.25">
      <c r="A217" s="32" t="s">
        <v>366</v>
      </c>
      <c r="B217" s="33" t="s">
        <v>202</v>
      </c>
      <c r="C217" s="33" t="s">
        <v>203</v>
      </c>
      <c r="D217" s="33" t="s">
        <v>365</v>
      </c>
      <c r="E217" s="33" t="s">
        <v>205</v>
      </c>
      <c r="F217" s="33" t="s">
        <v>206</v>
      </c>
      <c r="G217" s="33" t="s">
        <v>210</v>
      </c>
      <c r="H217" s="33" t="s">
        <v>315</v>
      </c>
      <c r="I217" s="61">
        <v>4.139746296363656</v>
      </c>
      <c r="J217" s="33">
        <v>0</v>
      </c>
      <c r="K217" s="49">
        <v>-11.100336293973188</v>
      </c>
      <c r="L217" s="60">
        <v>9.3748964252407365</v>
      </c>
      <c r="M217" s="69">
        <v>13.885309382879193</v>
      </c>
      <c r="N217" s="70">
        <v>13.885309382879193</v>
      </c>
    </row>
    <row r="218" spans="1:14" x14ac:dyDescent="0.25">
      <c r="A218" s="32" t="s">
        <v>367</v>
      </c>
      <c r="B218" s="33" t="s">
        <v>202</v>
      </c>
      <c r="C218" s="33" t="s">
        <v>203</v>
      </c>
      <c r="D218" s="33" t="s">
        <v>365</v>
      </c>
      <c r="E218" s="33" t="s">
        <v>205</v>
      </c>
      <c r="F218" s="33" t="s">
        <v>206</v>
      </c>
      <c r="G218" s="33" t="s">
        <v>212</v>
      </c>
      <c r="H218" s="33" t="s">
        <v>315</v>
      </c>
      <c r="I218" s="61">
        <v>4.2902403610210254</v>
      </c>
      <c r="J218" s="33">
        <v>0</v>
      </c>
      <c r="K218" s="49">
        <v>-15.15901315291187</v>
      </c>
      <c r="L218" s="60">
        <v>9.7296722291937812</v>
      </c>
      <c r="M218" s="69">
        <v>21.057789386928533</v>
      </c>
      <c r="N218" s="70">
        <v>16.312372060296752</v>
      </c>
    </row>
    <row r="219" spans="1:14" x14ac:dyDescent="0.25">
      <c r="A219" s="32" t="s">
        <v>368</v>
      </c>
      <c r="B219" s="33" t="s">
        <v>202</v>
      </c>
      <c r="C219" s="33" t="s">
        <v>203</v>
      </c>
      <c r="D219" s="33" t="s">
        <v>365</v>
      </c>
      <c r="E219" s="33" t="s">
        <v>205</v>
      </c>
      <c r="F219" s="33" t="s">
        <v>214</v>
      </c>
      <c r="G219" s="33" t="s">
        <v>207</v>
      </c>
      <c r="H219" s="33" t="s">
        <v>315</v>
      </c>
      <c r="I219" s="61">
        <v>3.5054800656318856</v>
      </c>
      <c r="J219" s="33">
        <v>0</v>
      </c>
      <c r="K219" s="49">
        <v>-4.2060392889703273</v>
      </c>
      <c r="L219" s="60">
        <v>9.3447398604096001</v>
      </c>
      <c r="M219" s="69">
        <v>9.8800889225658342</v>
      </c>
      <c r="N219" s="70">
        <v>9.23846710714278</v>
      </c>
    </row>
    <row r="220" spans="1:14" x14ac:dyDescent="0.25">
      <c r="A220" s="32" t="s">
        <v>369</v>
      </c>
      <c r="B220" s="33" t="s">
        <v>202</v>
      </c>
      <c r="C220" s="33" t="s">
        <v>203</v>
      </c>
      <c r="D220" s="33" t="s">
        <v>365</v>
      </c>
      <c r="E220" s="33" t="s">
        <v>205</v>
      </c>
      <c r="F220" s="33" t="s">
        <v>214</v>
      </c>
      <c r="G220" s="33" t="s">
        <v>210</v>
      </c>
      <c r="H220" s="33" t="s">
        <v>315</v>
      </c>
      <c r="I220" s="61">
        <v>3.7204586186159632</v>
      </c>
      <c r="J220" s="33">
        <v>0</v>
      </c>
      <c r="K220" s="49">
        <v>-4.6669532330361063</v>
      </c>
      <c r="L220" s="60">
        <v>9.3661552222641866</v>
      </c>
      <c r="M220" s="69">
        <v>18.026925565902918</v>
      </c>
      <c r="N220" s="70">
        <v>16.582976238462628</v>
      </c>
    </row>
    <row r="221" spans="1:14" x14ac:dyDescent="0.25">
      <c r="A221" s="32" t="s">
        <v>370</v>
      </c>
      <c r="B221" s="33" t="s">
        <v>202</v>
      </c>
      <c r="C221" s="33" t="s">
        <v>203</v>
      </c>
      <c r="D221" s="33" t="s">
        <v>365</v>
      </c>
      <c r="E221" s="33" t="s">
        <v>205</v>
      </c>
      <c r="F221" s="33" t="s">
        <v>214</v>
      </c>
      <c r="G221" s="33" t="s">
        <v>212</v>
      </c>
      <c r="H221" s="33" t="s">
        <v>315</v>
      </c>
      <c r="I221" s="61">
        <v>4.036359745245413</v>
      </c>
      <c r="J221" s="33">
        <v>0</v>
      </c>
      <c r="K221" s="49">
        <v>-7.105745228152955</v>
      </c>
      <c r="L221" s="60">
        <v>9.7082313220998575</v>
      </c>
      <c r="M221" s="69">
        <v>27.018645579415431</v>
      </c>
      <c r="N221" s="70">
        <v>22.556417859616012</v>
      </c>
    </row>
    <row r="222" spans="1:14" x14ac:dyDescent="0.25">
      <c r="A222" s="32" t="s">
        <v>371</v>
      </c>
      <c r="B222" s="33" t="s">
        <v>202</v>
      </c>
      <c r="C222" s="33" t="s">
        <v>203</v>
      </c>
      <c r="D222" s="33" t="s">
        <v>365</v>
      </c>
      <c r="E222" s="33" t="s">
        <v>205</v>
      </c>
      <c r="F222" s="33" t="s">
        <v>218</v>
      </c>
      <c r="G222" s="33" t="s">
        <v>207</v>
      </c>
      <c r="H222" s="33" t="s">
        <v>315</v>
      </c>
      <c r="I222" s="61">
        <v>4.4395381959802771</v>
      </c>
      <c r="J222" s="33">
        <v>0</v>
      </c>
      <c r="K222" s="49">
        <v>-6.7318493255309146</v>
      </c>
      <c r="L222" s="60">
        <v>10.198644239292749</v>
      </c>
      <c r="M222" s="69">
        <v>13.924409156078138</v>
      </c>
      <c r="N222" s="70">
        <v>13.670415511040082</v>
      </c>
    </row>
    <row r="223" spans="1:14" x14ac:dyDescent="0.25">
      <c r="A223" s="32" t="s">
        <v>372</v>
      </c>
      <c r="B223" s="33" t="s">
        <v>202</v>
      </c>
      <c r="C223" s="33" t="s">
        <v>203</v>
      </c>
      <c r="D223" s="33" t="s">
        <v>365</v>
      </c>
      <c r="E223" s="33" t="s">
        <v>205</v>
      </c>
      <c r="F223" s="33" t="s">
        <v>218</v>
      </c>
      <c r="G223" s="33" t="s">
        <v>210</v>
      </c>
      <c r="H223" s="33" t="s">
        <v>315</v>
      </c>
      <c r="I223" s="61">
        <v>4.7780751100412235</v>
      </c>
      <c r="J223" s="33">
        <v>0</v>
      </c>
      <c r="K223" s="49">
        <v>-10.261730609056116</v>
      </c>
      <c r="L223" s="60">
        <v>10.162103514092532</v>
      </c>
      <c r="M223" s="69">
        <v>14.285260656535275</v>
      </c>
      <c r="N223" s="70">
        <v>11.039578348405003</v>
      </c>
    </row>
    <row r="224" spans="1:14" x14ac:dyDescent="0.25">
      <c r="A224" s="32" t="s">
        <v>373</v>
      </c>
      <c r="B224" s="33" t="s">
        <v>202</v>
      </c>
      <c r="C224" s="33" t="s">
        <v>203</v>
      </c>
      <c r="D224" s="33" t="s">
        <v>365</v>
      </c>
      <c r="E224" s="33" t="s">
        <v>205</v>
      </c>
      <c r="F224" s="33" t="s">
        <v>218</v>
      </c>
      <c r="G224" s="33" t="s">
        <v>212</v>
      </c>
      <c r="H224" s="33" t="s">
        <v>315</v>
      </c>
      <c r="I224" s="61">
        <v>4.5002557902044806</v>
      </c>
      <c r="J224" s="33">
        <v>0</v>
      </c>
      <c r="K224" s="49">
        <v>-8.4828804912138605</v>
      </c>
      <c r="L224" s="60">
        <v>8.7735592182867066</v>
      </c>
      <c r="M224" s="69">
        <v>19.394161977674464</v>
      </c>
      <c r="N224" s="70">
        <v>19.394161977674464</v>
      </c>
    </row>
    <row r="225" spans="1:14" x14ac:dyDescent="0.25">
      <c r="A225" s="32" t="s">
        <v>374</v>
      </c>
      <c r="B225" s="33" t="s">
        <v>202</v>
      </c>
      <c r="C225" s="33" t="s">
        <v>203</v>
      </c>
      <c r="D225" s="33" t="s">
        <v>365</v>
      </c>
      <c r="E225" s="33" t="s">
        <v>205</v>
      </c>
      <c r="F225" s="33" t="s">
        <v>222</v>
      </c>
      <c r="G225" s="33" t="s">
        <v>207</v>
      </c>
      <c r="H225" s="33" t="s">
        <v>315</v>
      </c>
      <c r="I225" s="61">
        <v>4.8785848967015815</v>
      </c>
      <c r="J225" s="33">
        <v>0</v>
      </c>
      <c r="K225" s="49">
        <v>-14.695068982864536</v>
      </c>
      <c r="L225" s="60">
        <v>8.6331435516310435</v>
      </c>
      <c r="M225" s="69">
        <v>20.799440104957441</v>
      </c>
      <c r="N225" s="70">
        <v>20.137216067792245</v>
      </c>
    </row>
    <row r="226" spans="1:14" x14ac:dyDescent="0.25">
      <c r="A226" s="32" t="s">
        <v>375</v>
      </c>
      <c r="B226" s="33" t="s">
        <v>202</v>
      </c>
      <c r="C226" s="33" t="s">
        <v>203</v>
      </c>
      <c r="D226" s="33" t="s">
        <v>365</v>
      </c>
      <c r="E226" s="33" t="s">
        <v>205</v>
      </c>
      <c r="F226" s="33" t="s">
        <v>222</v>
      </c>
      <c r="G226" s="33" t="s">
        <v>210</v>
      </c>
      <c r="H226" s="33" t="s">
        <v>315</v>
      </c>
      <c r="I226" s="61">
        <v>5.8678983963288465</v>
      </c>
      <c r="J226" s="33">
        <v>0</v>
      </c>
      <c r="K226" s="49">
        <v>-20.557533295631792</v>
      </c>
      <c r="L226" s="60">
        <v>8.8567820791380338</v>
      </c>
      <c r="M226" s="69">
        <v>20.466434610033478</v>
      </c>
      <c r="N226" s="70">
        <v>19.920805348475735</v>
      </c>
    </row>
    <row r="227" spans="1:14" x14ac:dyDescent="0.25">
      <c r="A227" s="32" t="s">
        <v>376</v>
      </c>
      <c r="B227" s="33" t="s">
        <v>202</v>
      </c>
      <c r="C227" s="33" t="s">
        <v>203</v>
      </c>
      <c r="D227" s="33" t="s">
        <v>365</v>
      </c>
      <c r="E227" s="33" t="s">
        <v>205</v>
      </c>
      <c r="F227" s="33" t="s">
        <v>222</v>
      </c>
      <c r="G227" s="33" t="s">
        <v>212</v>
      </c>
      <c r="H227" s="33" t="s">
        <v>315</v>
      </c>
      <c r="I227" s="61">
        <v>3.3529517846344143</v>
      </c>
      <c r="J227" s="33">
        <v>0</v>
      </c>
      <c r="K227" s="49">
        <v>-13.286900571786903</v>
      </c>
      <c r="L227" s="60">
        <v>9.0659853258476364</v>
      </c>
      <c r="M227" s="69">
        <v>31.032204109119061</v>
      </c>
      <c r="N227" s="70">
        <v>24.770812020274239</v>
      </c>
    </row>
    <row r="228" spans="1:14" x14ac:dyDescent="0.25">
      <c r="A228" s="32" t="s">
        <v>377</v>
      </c>
      <c r="B228" s="33" t="s">
        <v>226</v>
      </c>
      <c r="C228" s="33" t="s">
        <v>203</v>
      </c>
      <c r="D228" s="33" t="s">
        <v>365</v>
      </c>
      <c r="E228" s="33" t="s">
        <v>205</v>
      </c>
      <c r="F228" s="33" t="s">
        <v>206</v>
      </c>
      <c r="G228" s="33" t="s">
        <v>207</v>
      </c>
      <c r="H228" s="33" t="s">
        <v>315</v>
      </c>
      <c r="I228" s="61">
        <v>9.0023318456431518</v>
      </c>
      <c r="J228" s="33">
        <v>0</v>
      </c>
      <c r="K228" s="49">
        <v>-6.2828742466954406</v>
      </c>
      <c r="L228" s="60">
        <v>12</v>
      </c>
      <c r="M228" s="69">
        <v>21.732984631115983</v>
      </c>
      <c r="N228" s="70">
        <v>21.479109999339659</v>
      </c>
    </row>
    <row r="229" spans="1:14" x14ac:dyDescent="0.25">
      <c r="A229" s="32" t="s">
        <v>378</v>
      </c>
      <c r="B229" s="33" t="s">
        <v>226</v>
      </c>
      <c r="C229" s="33" t="s">
        <v>203</v>
      </c>
      <c r="D229" s="33" t="s">
        <v>365</v>
      </c>
      <c r="E229" s="33" t="s">
        <v>205</v>
      </c>
      <c r="F229" s="33" t="s">
        <v>206</v>
      </c>
      <c r="G229" s="33" t="s">
        <v>210</v>
      </c>
      <c r="H229" s="33" t="s">
        <v>315</v>
      </c>
      <c r="I229" s="61">
        <v>7.239721783952513</v>
      </c>
      <c r="J229" s="33">
        <v>0</v>
      </c>
      <c r="K229" s="49">
        <v>-12.721075524265853</v>
      </c>
      <c r="L229" s="60">
        <v>12</v>
      </c>
      <c r="M229" s="69">
        <v>15.238229520240132</v>
      </c>
      <c r="N229" s="70">
        <v>15.238229520240132</v>
      </c>
    </row>
    <row r="230" spans="1:14" x14ac:dyDescent="0.25">
      <c r="A230" s="32" t="s">
        <v>379</v>
      </c>
      <c r="B230" s="33" t="s">
        <v>226</v>
      </c>
      <c r="C230" s="33" t="s">
        <v>203</v>
      </c>
      <c r="D230" s="33" t="s">
        <v>365</v>
      </c>
      <c r="E230" s="33" t="s">
        <v>205</v>
      </c>
      <c r="F230" s="33" t="s">
        <v>206</v>
      </c>
      <c r="G230" s="33" t="s">
        <v>212</v>
      </c>
      <c r="H230" s="33" t="s">
        <v>315</v>
      </c>
      <c r="I230" s="61">
        <v>7.239721783952513</v>
      </c>
      <c r="J230" s="33">
        <v>0</v>
      </c>
      <c r="K230" s="49">
        <v>-16.722833638122491</v>
      </c>
      <c r="L230" s="60">
        <v>12</v>
      </c>
      <c r="M230" s="69">
        <v>22.876694684539395</v>
      </c>
      <c r="N230" s="70">
        <v>18.131277357907614</v>
      </c>
    </row>
    <row r="231" spans="1:14" x14ac:dyDescent="0.25">
      <c r="A231" s="32" t="s">
        <v>380</v>
      </c>
      <c r="B231" s="33" t="s">
        <v>226</v>
      </c>
      <c r="C231" s="33" t="s">
        <v>203</v>
      </c>
      <c r="D231" s="33" t="s">
        <v>365</v>
      </c>
      <c r="E231" s="33" t="s">
        <v>205</v>
      </c>
      <c r="F231" s="33" t="s">
        <v>214</v>
      </c>
      <c r="G231" s="33" t="s">
        <v>207</v>
      </c>
      <c r="H231" s="33" t="s">
        <v>315</v>
      </c>
      <c r="I231" s="61">
        <v>6.4257980460961415</v>
      </c>
      <c r="J231" s="33">
        <v>0</v>
      </c>
      <c r="K231" s="49">
        <v>-5.412915991418263</v>
      </c>
      <c r="L231" s="60">
        <v>12</v>
      </c>
      <c r="M231" s="69">
        <v>10.894544561759536</v>
      </c>
      <c r="N231" s="70">
        <v>10.252922746336479</v>
      </c>
    </row>
    <row r="232" spans="1:14" x14ac:dyDescent="0.25">
      <c r="A232" s="32" t="s">
        <v>381</v>
      </c>
      <c r="B232" s="33" t="s">
        <v>226</v>
      </c>
      <c r="C232" s="33" t="s">
        <v>203</v>
      </c>
      <c r="D232" s="33" t="s">
        <v>365</v>
      </c>
      <c r="E232" s="33" t="s">
        <v>205</v>
      </c>
      <c r="F232" s="33" t="s">
        <v>214</v>
      </c>
      <c r="G232" s="33" t="s">
        <v>210</v>
      </c>
      <c r="H232" s="33" t="s">
        <v>315</v>
      </c>
      <c r="I232" s="61">
        <v>11.092048456076391</v>
      </c>
      <c r="J232" s="33">
        <v>0</v>
      </c>
      <c r="K232" s="49">
        <v>-6.583641886596836</v>
      </c>
      <c r="L232" s="60">
        <v>12</v>
      </c>
      <c r="M232" s="69">
        <v>19.633524542072493</v>
      </c>
      <c r="N232" s="70">
        <v>18.1895752146322</v>
      </c>
    </row>
    <row r="233" spans="1:14" x14ac:dyDescent="0.25">
      <c r="A233" s="32" t="s">
        <v>382</v>
      </c>
      <c r="B233" s="33" t="s">
        <v>226</v>
      </c>
      <c r="C233" s="33" t="s">
        <v>203</v>
      </c>
      <c r="D233" s="33" t="s">
        <v>365</v>
      </c>
      <c r="E233" s="33" t="s">
        <v>205</v>
      </c>
      <c r="F233" s="33" t="s">
        <v>214</v>
      </c>
      <c r="G233" s="33" t="s">
        <v>212</v>
      </c>
      <c r="H233" s="33" t="s">
        <v>315</v>
      </c>
      <c r="I233" s="61">
        <v>11.548342558515809</v>
      </c>
      <c r="J233" s="33">
        <v>0</v>
      </c>
      <c r="K233" s="49">
        <v>-9.3485930357615583</v>
      </c>
      <c r="L233" s="60">
        <v>12</v>
      </c>
      <c r="M233" s="69">
        <v>30.287655857663594</v>
      </c>
      <c r="N233" s="70">
        <v>25.825428137864172</v>
      </c>
    </row>
    <row r="234" spans="1:14" x14ac:dyDescent="0.25">
      <c r="A234" s="32" t="s">
        <v>383</v>
      </c>
      <c r="B234" s="33" t="s">
        <v>226</v>
      </c>
      <c r="C234" s="33" t="s">
        <v>203</v>
      </c>
      <c r="D234" s="33" t="s">
        <v>365</v>
      </c>
      <c r="E234" s="33" t="s">
        <v>205</v>
      </c>
      <c r="F234" s="33" t="s">
        <v>218</v>
      </c>
      <c r="G234" s="33" t="s">
        <v>207</v>
      </c>
      <c r="H234" s="33" t="s">
        <v>315</v>
      </c>
      <c r="I234" s="61">
        <v>8.1218676321207077</v>
      </c>
      <c r="J234" s="33">
        <v>0</v>
      </c>
      <c r="K234" s="49">
        <v>-8.5181470681249625</v>
      </c>
      <c r="L234" s="60">
        <v>12</v>
      </c>
      <c r="M234" s="69">
        <v>13.926394704008171</v>
      </c>
      <c r="N234" s="70">
        <v>13.672401058970122</v>
      </c>
    </row>
    <row r="235" spans="1:14" x14ac:dyDescent="0.25">
      <c r="A235" s="32" t="s">
        <v>384</v>
      </c>
      <c r="B235" s="33" t="s">
        <v>226</v>
      </c>
      <c r="C235" s="33" t="s">
        <v>203</v>
      </c>
      <c r="D235" s="33" t="s">
        <v>365</v>
      </c>
      <c r="E235" s="33" t="s">
        <v>205</v>
      </c>
      <c r="F235" s="33" t="s">
        <v>218</v>
      </c>
      <c r="G235" s="33" t="s">
        <v>210</v>
      </c>
      <c r="H235" s="33" t="s">
        <v>315</v>
      </c>
      <c r="I235" s="61">
        <v>12.412266531457483</v>
      </c>
      <c r="J235" s="33">
        <v>0</v>
      </c>
      <c r="K235" s="49">
        <v>-12.734630374867223</v>
      </c>
      <c r="L235" s="60">
        <v>12</v>
      </c>
      <c r="M235" s="69">
        <v>14.838548680180395</v>
      </c>
      <c r="N235" s="70">
        <v>11.592866372050119</v>
      </c>
    </row>
    <row r="236" spans="1:14" x14ac:dyDescent="0.25">
      <c r="A236" s="32" t="s">
        <v>385</v>
      </c>
      <c r="B236" s="33" t="s">
        <v>226</v>
      </c>
      <c r="C236" s="33" t="s">
        <v>203</v>
      </c>
      <c r="D236" s="33" t="s">
        <v>365</v>
      </c>
      <c r="E236" s="33" t="s">
        <v>205</v>
      </c>
      <c r="F236" s="33" t="s">
        <v>218</v>
      </c>
      <c r="G236" s="33" t="s">
        <v>212</v>
      </c>
      <c r="H236" s="33" t="s">
        <v>315</v>
      </c>
      <c r="I236" s="61">
        <v>10.089308238488471</v>
      </c>
      <c r="J236" s="33">
        <v>0</v>
      </c>
      <c r="K236" s="49">
        <v>-11.091288675174619</v>
      </c>
      <c r="L236" s="60">
        <v>12</v>
      </c>
      <c r="M236" s="69">
        <v>23.797134385617841</v>
      </c>
      <c r="N236" s="70">
        <v>23.797134385617841</v>
      </c>
    </row>
    <row r="237" spans="1:14" x14ac:dyDescent="0.25">
      <c r="A237" s="32" t="s">
        <v>386</v>
      </c>
      <c r="B237" s="33" t="s">
        <v>226</v>
      </c>
      <c r="C237" s="33" t="s">
        <v>203</v>
      </c>
      <c r="D237" s="33" t="s">
        <v>365</v>
      </c>
      <c r="E237" s="33" t="s">
        <v>205</v>
      </c>
      <c r="F237" s="33" t="s">
        <v>222</v>
      </c>
      <c r="G237" s="33" t="s">
        <v>207</v>
      </c>
      <c r="H237" s="33" t="s">
        <v>315</v>
      </c>
      <c r="I237" s="61">
        <v>9.5276412463718767</v>
      </c>
      <c r="J237" s="33">
        <v>0</v>
      </c>
      <c r="K237" s="49">
        <v>-20.415565866624039</v>
      </c>
      <c r="L237" s="60">
        <v>11.999999999999998</v>
      </c>
      <c r="M237" s="69">
        <v>22.478545067430616</v>
      </c>
      <c r="N237" s="70">
        <v>21.816321030265417</v>
      </c>
    </row>
    <row r="238" spans="1:14" x14ac:dyDescent="0.25">
      <c r="A238" s="32" t="s">
        <v>387</v>
      </c>
      <c r="B238" s="33" t="s">
        <v>226</v>
      </c>
      <c r="C238" s="33" t="s">
        <v>203</v>
      </c>
      <c r="D238" s="33" t="s">
        <v>365</v>
      </c>
      <c r="E238" s="33" t="s">
        <v>205</v>
      </c>
      <c r="F238" s="33" t="s">
        <v>222</v>
      </c>
      <c r="G238" s="33" t="s">
        <v>210</v>
      </c>
      <c r="H238" s="33" t="s">
        <v>315</v>
      </c>
      <c r="I238" s="61">
        <v>14.691690543167578</v>
      </c>
      <c r="J238" s="33">
        <v>0</v>
      </c>
      <c r="K238" s="49">
        <v>-29.168790467109996</v>
      </c>
      <c r="L238" s="60">
        <v>12</v>
      </c>
      <c r="M238" s="69">
        <v>23.528971943663819</v>
      </c>
      <c r="N238" s="70">
        <v>22.983342682106077</v>
      </c>
    </row>
    <row r="239" spans="1:14" ht="15.75" thickBot="1" x14ac:dyDescent="0.3">
      <c r="A239" s="36" t="s">
        <v>388</v>
      </c>
      <c r="B239" s="37" t="s">
        <v>226</v>
      </c>
      <c r="C239" s="37" t="s">
        <v>203</v>
      </c>
      <c r="D239" s="37" t="s">
        <v>365</v>
      </c>
      <c r="E239" s="37" t="s">
        <v>205</v>
      </c>
      <c r="F239" s="37" t="s">
        <v>222</v>
      </c>
      <c r="G239" s="37" t="s">
        <v>212</v>
      </c>
      <c r="H239" s="37" t="s">
        <v>315</v>
      </c>
      <c r="I239" s="64">
        <v>12.949112163117441</v>
      </c>
      <c r="J239" s="37">
        <v>0</v>
      </c>
      <c r="K239" s="55">
        <v>-15.977489211447475</v>
      </c>
      <c r="L239" s="63">
        <v>12</v>
      </c>
      <c r="M239" s="71">
        <v>33.858232427511268</v>
      </c>
      <c r="N239" s="72">
        <v>27.596840338666453</v>
      </c>
    </row>
    <row r="241" spans="1:13" ht="15.75" thickBot="1" x14ac:dyDescent="0.3">
      <c r="A241" s="27" t="s">
        <v>389</v>
      </c>
    </row>
    <row r="242" spans="1:13" x14ac:dyDescent="0.25">
      <c r="A242" s="28" t="s">
        <v>193</v>
      </c>
      <c r="B242" s="29" t="s">
        <v>137</v>
      </c>
      <c r="C242" s="29" t="s">
        <v>138</v>
      </c>
      <c r="D242" s="58" t="s">
        <v>390</v>
      </c>
      <c r="E242" s="29" t="s">
        <v>391</v>
      </c>
      <c r="F242" s="29" t="s">
        <v>392</v>
      </c>
      <c r="G242" s="29" t="s">
        <v>393</v>
      </c>
      <c r="H242" s="29" t="s">
        <v>394</v>
      </c>
      <c r="I242" s="29" t="s">
        <v>145</v>
      </c>
      <c r="J242" s="29" t="s">
        <v>146</v>
      </c>
      <c r="K242" s="30" t="s">
        <v>198</v>
      </c>
      <c r="L242" s="29" t="s">
        <v>147</v>
      </c>
      <c r="M242" s="31" t="s">
        <v>395</v>
      </c>
    </row>
    <row r="243" spans="1:13" x14ac:dyDescent="0.25">
      <c r="A243" s="32" t="s">
        <v>396</v>
      </c>
      <c r="B243" s="33" t="s">
        <v>152</v>
      </c>
      <c r="C243" s="33" t="s">
        <v>177</v>
      </c>
      <c r="D243" s="61" t="s">
        <v>397</v>
      </c>
      <c r="E243" s="33" t="s">
        <v>398</v>
      </c>
      <c r="F243" s="33" t="s">
        <v>399</v>
      </c>
      <c r="G243" s="33" t="s">
        <v>400</v>
      </c>
      <c r="H243" s="33">
        <v>0</v>
      </c>
      <c r="I243" s="61">
        <v>2412.34</v>
      </c>
      <c r="J243" s="61">
        <v>0</v>
      </c>
      <c r="K243" s="49">
        <v>151.68</v>
      </c>
      <c r="L243" s="33">
        <v>45</v>
      </c>
      <c r="M243" s="35">
        <v>470</v>
      </c>
    </row>
    <row r="244" spans="1:13" x14ac:dyDescent="0.25">
      <c r="A244" s="32" t="s">
        <v>401</v>
      </c>
      <c r="B244" s="33" t="s">
        <v>152</v>
      </c>
      <c r="C244" s="33" t="s">
        <v>177</v>
      </c>
      <c r="D244" s="61" t="s">
        <v>402</v>
      </c>
      <c r="E244" s="33" t="s">
        <v>398</v>
      </c>
      <c r="F244" s="33" t="s">
        <v>399</v>
      </c>
      <c r="G244" s="33" t="s">
        <v>400</v>
      </c>
      <c r="H244" s="33">
        <v>0</v>
      </c>
      <c r="I244" s="61">
        <v>2885.14</v>
      </c>
      <c r="J244" s="61">
        <v>0</v>
      </c>
      <c r="K244" s="49">
        <v>436.19</v>
      </c>
      <c r="L244" s="33">
        <v>45</v>
      </c>
      <c r="M244" s="35">
        <v>3095</v>
      </c>
    </row>
    <row r="245" spans="1:13" ht="15.75" thickBot="1" x14ac:dyDescent="0.3">
      <c r="A245" s="36" t="s">
        <v>403</v>
      </c>
      <c r="B245" s="37" t="s">
        <v>152</v>
      </c>
      <c r="C245" s="37" t="s">
        <v>177</v>
      </c>
      <c r="D245" s="64" t="s">
        <v>404</v>
      </c>
      <c r="E245" s="37" t="s">
        <v>398</v>
      </c>
      <c r="F245" s="37" t="s">
        <v>399</v>
      </c>
      <c r="G245" s="37" t="s">
        <v>400</v>
      </c>
      <c r="H245" s="37">
        <v>0</v>
      </c>
      <c r="I245" s="64">
        <v>3258.23</v>
      </c>
      <c r="J245" s="64">
        <v>0</v>
      </c>
      <c r="K245" s="55">
        <v>1319.93</v>
      </c>
      <c r="L245" s="37">
        <v>45</v>
      </c>
      <c r="M245" s="39">
        <v>2006</v>
      </c>
    </row>
    <row r="246" spans="1:13" ht="15.75" thickBot="1" x14ac:dyDescent="0.3"/>
    <row r="247" spans="1:13" x14ac:dyDescent="0.25">
      <c r="A247" s="73" t="s">
        <v>405</v>
      </c>
      <c r="B247" s="29"/>
      <c r="C247" s="29"/>
      <c r="D247" s="31"/>
    </row>
    <row r="248" spans="1:13" x14ac:dyDescent="0.25">
      <c r="A248" s="46" t="s">
        <v>406</v>
      </c>
      <c r="B248" s="33" t="s">
        <v>68</v>
      </c>
      <c r="C248" s="33" t="s">
        <v>407</v>
      </c>
      <c r="D248" s="74" t="s">
        <v>61</v>
      </c>
    </row>
    <row r="249" spans="1:13" x14ac:dyDescent="0.25">
      <c r="A249" s="32" t="s">
        <v>380</v>
      </c>
      <c r="B249" s="48">
        <v>5.41</v>
      </c>
      <c r="C249" s="60">
        <v>12</v>
      </c>
      <c r="D249" s="70">
        <v>10.894544561759536</v>
      </c>
    </row>
    <row r="250" spans="1:13" x14ac:dyDescent="0.25">
      <c r="A250" s="32" t="s">
        <v>381</v>
      </c>
      <c r="B250" s="48">
        <v>6.58</v>
      </c>
      <c r="C250" s="60">
        <v>12</v>
      </c>
      <c r="D250" s="70">
        <v>19.633524542072493</v>
      </c>
    </row>
    <row r="251" spans="1:13" x14ac:dyDescent="0.25">
      <c r="A251" s="32" t="s">
        <v>408</v>
      </c>
      <c r="B251" s="48">
        <v>0</v>
      </c>
      <c r="C251" s="60"/>
      <c r="D251" s="70"/>
    </row>
    <row r="252" spans="1:13" x14ac:dyDescent="0.25">
      <c r="A252" s="46" t="s">
        <v>409</v>
      </c>
      <c r="B252" s="48">
        <v>1500</v>
      </c>
      <c r="C252" s="33"/>
      <c r="D252" s="35"/>
    </row>
    <row r="253" spans="1:13" x14ac:dyDescent="0.25">
      <c r="A253" s="46" t="s">
        <v>410</v>
      </c>
      <c r="B253" s="48">
        <v>500</v>
      </c>
      <c r="C253" s="33"/>
      <c r="D253" s="35"/>
    </row>
    <row r="254" spans="1:13" x14ac:dyDescent="0.25">
      <c r="A254" s="46" t="s">
        <v>411</v>
      </c>
      <c r="B254" s="33" t="s">
        <v>412</v>
      </c>
      <c r="C254" s="33"/>
      <c r="D254" s="35"/>
    </row>
    <row r="255" spans="1:13" x14ac:dyDescent="0.25">
      <c r="A255" s="46" t="s">
        <v>413</v>
      </c>
      <c r="B255" s="48">
        <v>628</v>
      </c>
      <c r="C255" s="33"/>
      <c r="D255" s="35"/>
    </row>
    <row r="256" spans="1:13" ht="15.75" thickBot="1" x14ac:dyDescent="0.3">
      <c r="A256" s="51" t="s">
        <v>414</v>
      </c>
      <c r="B256" s="54">
        <v>398</v>
      </c>
      <c r="C256" s="37"/>
      <c r="D256" s="39"/>
    </row>
    <row r="257" spans="1:2" ht="15.75" thickBot="1" x14ac:dyDescent="0.3"/>
    <row r="258" spans="1:2" ht="45" x14ac:dyDescent="0.25">
      <c r="A258" s="40" t="s">
        <v>451</v>
      </c>
      <c r="B258" s="81" t="s">
        <v>452</v>
      </c>
    </row>
    <row r="259" spans="1:2" x14ac:dyDescent="0.25">
      <c r="A259" s="32" t="s">
        <v>415</v>
      </c>
      <c r="B259" s="82">
        <v>28</v>
      </c>
    </row>
    <row r="260" spans="1:2" x14ac:dyDescent="0.25">
      <c r="A260" s="32" t="s">
        <v>416</v>
      </c>
      <c r="B260" s="82">
        <v>2</v>
      </c>
    </row>
    <row r="261" spans="1:2" x14ac:dyDescent="0.25">
      <c r="A261" s="32" t="s">
        <v>417</v>
      </c>
      <c r="B261" s="82">
        <v>3.5</v>
      </c>
    </row>
    <row r="262" spans="1:2" x14ac:dyDescent="0.25">
      <c r="A262" s="32" t="s">
        <v>418</v>
      </c>
      <c r="B262" s="82">
        <v>2</v>
      </c>
    </row>
    <row r="263" spans="1:2" x14ac:dyDescent="0.25">
      <c r="A263" s="32" t="s">
        <v>419</v>
      </c>
      <c r="B263" s="82">
        <v>6</v>
      </c>
    </row>
    <row r="264" spans="1:2" x14ac:dyDescent="0.25">
      <c r="A264" s="32" t="s">
        <v>420</v>
      </c>
      <c r="B264" s="82">
        <v>9</v>
      </c>
    </row>
    <row r="265" spans="1:2" x14ac:dyDescent="0.25">
      <c r="A265" s="32" t="s">
        <v>421</v>
      </c>
      <c r="B265" s="82">
        <v>7</v>
      </c>
    </row>
    <row r="266" spans="1:2" x14ac:dyDescent="0.25">
      <c r="A266" s="32" t="s">
        <v>422</v>
      </c>
      <c r="B266" s="82">
        <v>10</v>
      </c>
    </row>
    <row r="267" spans="1:2" x14ac:dyDescent="0.25">
      <c r="A267" s="32" t="s">
        <v>423</v>
      </c>
      <c r="B267" s="82">
        <v>21</v>
      </c>
    </row>
    <row r="268" spans="1:2" x14ac:dyDescent="0.25">
      <c r="A268" s="32" t="s">
        <v>424</v>
      </c>
      <c r="B268" s="82">
        <v>26</v>
      </c>
    </row>
    <row r="269" spans="1:2" x14ac:dyDescent="0.25">
      <c r="A269" s="32" t="s">
        <v>425</v>
      </c>
      <c r="B269" s="82">
        <v>31</v>
      </c>
    </row>
    <row r="270" spans="1:2" x14ac:dyDescent="0.25">
      <c r="A270" s="32" t="s">
        <v>426</v>
      </c>
      <c r="B270" s="82">
        <v>8</v>
      </c>
    </row>
    <row r="271" spans="1:2" x14ac:dyDescent="0.25">
      <c r="A271" s="32" t="s">
        <v>438</v>
      </c>
      <c r="B271" s="82">
        <v>2</v>
      </c>
    </row>
    <row r="272" spans="1:2" x14ac:dyDescent="0.25">
      <c r="A272" s="32" t="s">
        <v>427</v>
      </c>
      <c r="B272" s="82">
        <v>1</v>
      </c>
    </row>
    <row r="273" spans="1:2" x14ac:dyDescent="0.25">
      <c r="A273" s="32" t="s">
        <v>428</v>
      </c>
      <c r="B273" s="82">
        <v>1</v>
      </c>
    </row>
    <row r="274" spans="1:2" x14ac:dyDescent="0.25">
      <c r="A274" s="32" t="s">
        <v>429</v>
      </c>
      <c r="B274" s="82">
        <v>2.5</v>
      </c>
    </row>
    <row r="275" spans="1:2" x14ac:dyDescent="0.25">
      <c r="A275" s="32" t="s">
        <v>430</v>
      </c>
      <c r="B275" s="82">
        <v>0.5</v>
      </c>
    </row>
    <row r="276" spans="1:2" x14ac:dyDescent="0.25">
      <c r="A276" s="32" t="s">
        <v>431</v>
      </c>
      <c r="B276" s="82">
        <v>0.5</v>
      </c>
    </row>
    <row r="277" spans="1:2" x14ac:dyDescent="0.25">
      <c r="A277" s="32" t="s">
        <v>432</v>
      </c>
      <c r="B277" s="82">
        <v>3</v>
      </c>
    </row>
    <row r="278" spans="1:2" x14ac:dyDescent="0.25">
      <c r="A278" s="32" t="s">
        <v>433</v>
      </c>
      <c r="B278" s="82">
        <v>1.4</v>
      </c>
    </row>
    <row r="279" spans="1:2" x14ac:dyDescent="0.25">
      <c r="A279" s="32" t="s">
        <v>434</v>
      </c>
      <c r="B279" s="82">
        <v>18</v>
      </c>
    </row>
    <row r="280" spans="1:2" x14ac:dyDescent="0.25">
      <c r="A280" s="32" t="s">
        <v>435</v>
      </c>
      <c r="B280" s="82">
        <v>34</v>
      </c>
    </row>
    <row r="281" spans="1:2" x14ac:dyDescent="0.25">
      <c r="A281" s="32" t="s">
        <v>436</v>
      </c>
      <c r="B281" s="82">
        <v>1</v>
      </c>
    </row>
    <row r="282" spans="1:2" ht="15.75" thickBot="1" x14ac:dyDescent="0.3">
      <c r="A282" s="36" t="s">
        <v>437</v>
      </c>
      <c r="B282" s="83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>
    <tabColor rgb="FF002060"/>
  </sheetPr>
  <dimension ref="A1:BK103"/>
  <sheetViews>
    <sheetView workbookViewId="0"/>
  </sheetViews>
  <sheetFormatPr defaultColWidth="9.140625" defaultRowHeight="15" x14ac:dyDescent="0.25"/>
  <cols>
    <col min="1" max="1" width="57.85546875" style="23" bestFit="1" customWidth="1"/>
    <col min="2" max="2" width="13.140625" style="23" bestFit="1" customWidth="1"/>
    <col min="3" max="3" width="17.7109375" style="23" bestFit="1" customWidth="1"/>
    <col min="4" max="4" width="19.42578125" style="23" customWidth="1"/>
    <col min="5" max="5" width="17.28515625" style="23" customWidth="1"/>
    <col min="6" max="6" width="4.140625" style="104" customWidth="1"/>
    <col min="7" max="7" width="14.28515625" style="23" bestFit="1" customWidth="1"/>
    <col min="8" max="8" width="4.140625" style="104" customWidth="1"/>
    <col min="9" max="9" width="9.140625" style="23"/>
    <col min="10" max="10" width="4.140625" style="104" customWidth="1"/>
    <col min="11" max="11" width="9.140625" style="23"/>
    <col min="12" max="12" width="3.42578125" style="104" customWidth="1"/>
    <col min="13" max="13" width="9.140625" style="23"/>
    <col min="14" max="14" width="4.140625" style="104" customWidth="1"/>
    <col min="15" max="16" width="9.140625" style="23"/>
    <col min="17" max="19" width="4.140625" style="104" customWidth="1"/>
    <col min="20" max="20" width="12.5703125" style="23" customWidth="1"/>
    <col min="21" max="25" width="9.140625" style="23"/>
    <col min="26" max="26" width="14.28515625" style="23" bestFit="1" customWidth="1"/>
    <col min="27" max="27" width="19" style="23" bestFit="1" customWidth="1"/>
    <col min="28" max="28" width="11.5703125" style="23" bestFit="1" customWidth="1"/>
    <col min="29" max="29" width="9.5703125" style="23" bestFit="1" customWidth="1"/>
    <col min="30" max="30" width="14" style="23" customWidth="1"/>
    <col min="31" max="31" width="9.5703125" style="23" customWidth="1"/>
    <col min="32" max="32" width="13.85546875" style="23" customWidth="1"/>
    <col min="33" max="33" width="10.5703125" style="23" bestFit="1" customWidth="1"/>
    <col min="34" max="34" width="12.7109375" style="23" customWidth="1"/>
    <col min="35" max="35" width="10.5703125" style="23" bestFit="1" customWidth="1"/>
    <col min="36" max="36" width="18" style="23" customWidth="1"/>
    <col min="37" max="37" width="13.140625" style="23" customWidth="1"/>
    <col min="38" max="38" width="10.5703125" style="23" bestFit="1" customWidth="1"/>
    <col min="39" max="41" width="9.140625" style="23"/>
    <col min="42" max="44" width="11.5703125" style="23" bestFit="1" customWidth="1"/>
    <col min="45" max="45" width="14.28515625" style="23" bestFit="1" customWidth="1"/>
    <col min="46" max="46" width="11.5703125" style="23" bestFit="1" customWidth="1"/>
    <col min="47" max="62" width="9.140625" style="23"/>
    <col min="63" max="63" width="24.28515625" style="23" bestFit="1" customWidth="1"/>
    <col min="64" max="16384" width="9.140625" style="23"/>
  </cols>
  <sheetData>
    <row r="1" spans="1:63" x14ac:dyDescent="0.25">
      <c r="A1" s="23" t="s">
        <v>527</v>
      </c>
      <c r="E1" s="16" t="s">
        <v>86</v>
      </c>
      <c r="F1" s="16"/>
      <c r="G1" s="17" t="s">
        <v>87</v>
      </c>
      <c r="H1" s="17"/>
      <c r="AB1" s="11"/>
      <c r="AJ1" s="2"/>
      <c r="BK1" s="23" t="s">
        <v>1</v>
      </c>
    </row>
    <row r="2" spans="1:63" x14ac:dyDescent="0.25">
      <c r="BK2" s="23" t="s">
        <v>2</v>
      </c>
    </row>
    <row r="3" spans="1:63" s="11" customFormat="1" ht="90" x14ac:dyDescent="0.25">
      <c r="A3" s="5" t="s">
        <v>23</v>
      </c>
      <c r="B3" s="5" t="s">
        <v>464</v>
      </c>
      <c r="C3" s="5" t="s">
        <v>25</v>
      </c>
      <c r="D3" s="109" t="s">
        <v>27</v>
      </c>
      <c r="E3" s="5" t="s">
        <v>28</v>
      </c>
      <c r="F3" s="105"/>
      <c r="G3" s="5" t="s">
        <v>29</v>
      </c>
      <c r="H3" s="105"/>
      <c r="I3" s="5" t="s">
        <v>30</v>
      </c>
      <c r="J3" s="105"/>
      <c r="K3" s="5" t="s">
        <v>31</v>
      </c>
      <c r="L3" s="105"/>
      <c r="M3" s="5" t="s">
        <v>32</v>
      </c>
      <c r="N3" s="105"/>
      <c r="O3" s="5" t="s">
        <v>34</v>
      </c>
      <c r="P3" s="5" t="s">
        <v>33</v>
      </c>
      <c r="Q3" s="105"/>
      <c r="R3" s="105" t="s">
        <v>511</v>
      </c>
      <c r="S3" s="105" t="s">
        <v>519</v>
      </c>
      <c r="T3" s="5" t="s">
        <v>35</v>
      </c>
      <c r="U3" s="5" t="s">
        <v>36</v>
      </c>
      <c r="V3" s="5" t="s">
        <v>37</v>
      </c>
      <c r="W3" s="5" t="s">
        <v>38</v>
      </c>
      <c r="X3" s="5" t="s">
        <v>39</v>
      </c>
      <c r="Y3" s="5" t="s">
        <v>40</v>
      </c>
      <c r="Z3" s="5" t="s">
        <v>41</v>
      </c>
      <c r="AA3" s="5" t="s">
        <v>42</v>
      </c>
      <c r="AB3" s="5" t="s">
        <v>45</v>
      </c>
      <c r="AC3" s="5" t="s">
        <v>46</v>
      </c>
      <c r="AD3" s="5" t="s">
        <v>83</v>
      </c>
      <c r="AE3" s="5" t="s">
        <v>84</v>
      </c>
      <c r="AF3" s="5" t="s">
        <v>47</v>
      </c>
      <c r="AG3" s="5" t="s">
        <v>48</v>
      </c>
      <c r="AH3" s="5" t="s">
        <v>49</v>
      </c>
      <c r="AI3" s="5" t="s">
        <v>50</v>
      </c>
      <c r="AJ3" s="5" t="s">
        <v>51</v>
      </c>
      <c r="AK3" s="5" t="s">
        <v>52</v>
      </c>
      <c r="AL3" s="5" t="s">
        <v>53</v>
      </c>
      <c r="AM3" s="5" t="s">
        <v>54</v>
      </c>
      <c r="AN3" s="5" t="s">
        <v>55</v>
      </c>
      <c r="AO3" s="5" t="s">
        <v>56</v>
      </c>
      <c r="AP3" s="5" t="s">
        <v>57</v>
      </c>
      <c r="AQ3" s="5" t="s">
        <v>58</v>
      </c>
      <c r="AR3" s="5" t="s">
        <v>59</v>
      </c>
      <c r="AS3" s="5" t="s">
        <v>78</v>
      </c>
      <c r="AT3" s="5" t="s">
        <v>77</v>
      </c>
      <c r="AU3" s="5"/>
      <c r="AV3" s="5"/>
      <c r="AW3" s="5"/>
      <c r="AX3" s="5"/>
      <c r="AY3" s="5"/>
      <c r="BK3" s="13" t="s">
        <v>3</v>
      </c>
    </row>
    <row r="4" spans="1:63" x14ac:dyDescent="0.25">
      <c r="A4" s="102"/>
      <c r="B4" s="102"/>
      <c r="C4" s="102"/>
      <c r="D4" s="102"/>
      <c r="E4" s="103"/>
      <c r="F4" s="103"/>
      <c r="G4" s="107"/>
      <c r="H4" s="107"/>
      <c r="I4" s="102"/>
      <c r="J4" s="102"/>
      <c r="K4" s="102"/>
      <c r="L4" s="102"/>
      <c r="M4" s="103"/>
      <c r="N4" s="103"/>
      <c r="O4" s="103"/>
      <c r="P4" s="103"/>
      <c r="Q4" s="103"/>
      <c r="R4" s="103"/>
      <c r="S4" s="103"/>
      <c r="T4" s="18">
        <f>IF(C4="Res Space Heat",VLOOKUP(K4,#REF!,4)*G4,IF(C4="Res AC",VLOOKUP(K4,#REF!,6)*G4,IF(C4="Res Lighting",VLOOKUP(K4,#REF!,8)*G4,IF(C4="Res Refrigeration",VLOOKUP(K4,#REF!,10)*G4,IF(C4="Res Water Heating",VLOOKUP(K4,#REF!,12)*G4,IF(C4="Res Dishwasher",VLOOKUP(K4,#REF!,14)*G4,IF(C4="Res Washer Dryer",VLOOKUP(K4,#REF!,16)*G4,IF(C4="Res Misc",VLOOKUP(K4,#REF!,18)*G4,IF(C4="Res Furnace Fan",VLOOKUP(K4,#REF!,20)*G4,IF(C4="NonRes Compressed Air",VLOOKUP(K4,#REF!,22)*G4,IF(C4="NonRes Cooking",VLOOKUP(K4,#REF!,24)*G4,IF(C4="NonRes Space Cooling",VLOOKUP(K4,#REF!,26)*G4,IF(C4="NonRes Exterior Lighting",VLOOKUP(K4,#REF!,28)*G4,IF(C4="NonRes Space Heating",VLOOKUP(K4,#REF!,30)*G4,IF(C4="NonRes Water Heating",VLOOKUP(K4,#REF!,32)*G4,IF(C4="NonRes Interior Lighting",VLOOKUP(K4,#REF!,34)*G4,IF(C4="NonRes Misc",VLOOKUP(K4,#REF!,36)*G4,IF(C4="NonRes Motors",VLOOKUP(K4,#REF!,38)*G4,IF(C4="NonRes Office Equipment",VLOOKUP(K4,#REF!,40)*G4,IF(C4="NonRes Process",VLOOKUP(K4,#REF!,42)*G4,IF(C4="NonRes Refrigeration",VLOOKUP(K4,#REF!,44)*G4,IF(C4="NonRes Ventilation",VLOOKUP(K4,#REF!,46)*G4,0))))))))))))))))))))))</f>
        <v>0</v>
      </c>
      <c r="U4" s="18">
        <f>IF(D4="Annual",VLOOKUP(K4,#REF!,4)*'3.4 - Open'!I4,IF(D4="Winter",VLOOKUP('3.4 - Open'!K4,#REF!,5)*'3.4 - Open'!I4,IF(D4="NA",0,0)))</f>
        <v>0</v>
      </c>
      <c r="V4" s="19" t="e">
        <f t="shared" ref="V4:V35" si="0">(T4/(T4+U4))*E4</f>
        <v>#DIV/0!</v>
      </c>
      <c r="W4" s="19" t="e">
        <f t="shared" ref="W4:W35" si="1">E4-V4</f>
        <v>#DIV/0!</v>
      </c>
      <c r="X4" s="19" t="e">
        <f t="shared" ref="X4:X35" si="2">(T4/(T4+U4))*M4</f>
        <v>#DIV/0!</v>
      </c>
      <c r="Y4" s="19" t="e">
        <f t="shared" ref="Y4:Y35" si="3">M4-X4</f>
        <v>#DIV/0!</v>
      </c>
      <c r="Z4" s="20" t="e">
        <f>(T4+U4+(PV(#REF!,'3.4 - Open'!K4,'3.4 - Open'!P4)*-1)+'3.4 - Open'!O4)/'3.4 - Open'!E4</f>
        <v>#REF!</v>
      </c>
      <c r="AA4" s="20" t="e">
        <f>((T4+U4)/M4)</f>
        <v>#DIV/0!</v>
      </c>
      <c r="AB4" s="21">
        <f t="shared" ref="AB4:AB35" si="4">G4*B4</f>
        <v>0</v>
      </c>
      <c r="AC4" s="20">
        <f t="shared" ref="AC4:AC35" si="5">I4*B4</f>
        <v>0</v>
      </c>
      <c r="AD4" s="20">
        <f t="shared" ref="AD4:AD35" si="6">T4*B4</f>
        <v>0</v>
      </c>
      <c r="AE4" s="20">
        <f t="shared" ref="AE4:AE35" si="7">U4*B4</f>
        <v>0</v>
      </c>
      <c r="AF4" s="19" t="e">
        <f t="shared" ref="AF4:AF35" si="8">B4*V4</f>
        <v>#DIV/0!</v>
      </c>
      <c r="AG4" s="19" t="e">
        <f t="shared" ref="AG4:AG35" si="9">W4*B4</f>
        <v>#DIV/0!</v>
      </c>
      <c r="AH4" s="19" t="e">
        <f t="shared" ref="AH4:AH35" si="10">B4*X4</f>
        <v>#DIV/0!</v>
      </c>
      <c r="AI4" s="19" t="e">
        <f t="shared" ref="AI4:AI35" si="11">B4*Y4</f>
        <v>#DIV/0!</v>
      </c>
      <c r="AJ4" s="15"/>
      <c r="AK4" s="19" t="e">
        <f>AJ4*(T4/(T4+U4))</f>
        <v>#DIV/0!</v>
      </c>
      <c r="AL4" s="19" t="e">
        <f>AJ4-AK4</f>
        <v>#DIV/0!</v>
      </c>
      <c r="AM4" s="19">
        <f t="shared" ref="AM4:AM35" si="12">O4*B4</f>
        <v>0</v>
      </c>
      <c r="AN4" s="19" t="e">
        <f>AM4*(T4/(T4+U4))</f>
        <v>#DIV/0!</v>
      </c>
      <c r="AO4" s="19" t="e">
        <f>AM4-AN4</f>
        <v>#DIV/0!</v>
      </c>
      <c r="AP4" s="18" t="e">
        <f>-PV(#REF!,'3.4 - Open'!K4,'3.4 - Open'!P4)*'3.4 - Open'!B4</f>
        <v>#REF!</v>
      </c>
      <c r="AQ4" s="19" t="e">
        <f>AP4*(T4/(T4+U4))</f>
        <v>#REF!</v>
      </c>
      <c r="AR4" s="19" t="e">
        <f>AP4-AQ4</f>
        <v>#REF!</v>
      </c>
      <c r="AS4" s="18" t="e">
        <f>B4*G4*K4*#REF!</f>
        <v>#REF!</v>
      </c>
      <c r="AT4" s="19" t="e">
        <f>B4*I4*K4*#REF!</f>
        <v>#REF!</v>
      </c>
      <c r="AU4" s="24"/>
      <c r="AV4" s="24"/>
      <c r="AW4" s="24"/>
      <c r="AX4" s="24"/>
      <c r="AY4" s="24"/>
      <c r="BK4" s="22" t="s">
        <v>4</v>
      </c>
    </row>
    <row r="5" spans="1:63" x14ac:dyDescent="0.25">
      <c r="A5" s="102"/>
      <c r="B5" s="102"/>
      <c r="C5" s="102"/>
      <c r="D5" s="102"/>
      <c r="E5" s="103"/>
      <c r="F5" s="103"/>
      <c r="G5" s="108"/>
      <c r="H5" s="108"/>
      <c r="I5" s="102"/>
      <c r="J5" s="102"/>
      <c r="K5" s="102"/>
      <c r="L5" s="102"/>
      <c r="M5" s="103"/>
      <c r="N5" s="103"/>
      <c r="O5" s="103"/>
      <c r="P5" s="103"/>
      <c r="Q5" s="103"/>
      <c r="R5" s="103"/>
      <c r="S5" s="103"/>
      <c r="T5" s="18">
        <f>IF(C5="Res Space Heat",VLOOKUP(K5,#REF!,4)*G5,IF(C5="Res AC",VLOOKUP(K5,#REF!,6)*G5,IF(C5="Res Lighting",VLOOKUP(K5,#REF!,8)*G5,IF(C5="Res Refrigeration",VLOOKUP(K5,#REF!,10)*G5,IF(C5="Res Water Heating",VLOOKUP(K5,#REF!,12)*G5,IF(C5="Res Dishwasher",VLOOKUP(K5,#REF!,14)*G5,IF(C5="Res Washer Dryer",VLOOKUP(K5,#REF!,16)*G5,IF(C5="Res Misc",VLOOKUP(K5,#REF!,18)*G5,IF(C5="Res Furnace Fan",VLOOKUP(K5,#REF!,20)*G5,IF(C5="NonRes Compressed Air",VLOOKUP(K5,#REF!,22)*G5,IF(C5="NonRes Cooking",VLOOKUP(K5,#REF!,24)*G5,IF(C5="NonRes Space Cooling",VLOOKUP(K5,#REF!,26)*G5,IF(C5="NonRes Exterior Lighting",VLOOKUP(K5,#REF!,28)*G5,IF(C5="NonRes Space Heating",VLOOKUP(K5,#REF!,30)*G5,IF(C5="NonRes Water Heating",VLOOKUP(K5,#REF!,32)*G5,IF(C5="NonRes Interior Lighting",VLOOKUP(K5,#REF!,34)*G5,IF(C5="NonRes Misc",VLOOKUP(K5,#REF!,36)*G5,IF(C5="NonRes Motors",VLOOKUP(K5,#REF!,38)*G5,IF(C5="NonRes Office Equipment",VLOOKUP(K5,#REF!,40)*G5,IF(C5="NonRes Process",VLOOKUP(K5,#REF!,42)*G5,IF(C5="NonRes Refrigeration",VLOOKUP(K5,#REF!,44)*G5,IF(C5="NonRes Ventilation",VLOOKUP(K5,#REF!,46)*G5,0))))))))))))))))))))))</f>
        <v>0</v>
      </c>
      <c r="U5" s="18">
        <f>IF(D5="Annual",VLOOKUP(K5,#REF!,4)*'3.4 - Open'!I5,IF(D5="Winter",VLOOKUP('3.4 - Open'!K5,#REF!,5)*'3.4 - Open'!I5,IF(D5="NA",0,0)))</f>
        <v>0</v>
      </c>
      <c r="V5" s="19" t="e">
        <f t="shared" si="0"/>
        <v>#DIV/0!</v>
      </c>
      <c r="W5" s="19" t="e">
        <f t="shared" si="1"/>
        <v>#DIV/0!</v>
      </c>
      <c r="X5" s="19" t="e">
        <f t="shared" si="2"/>
        <v>#DIV/0!</v>
      </c>
      <c r="Y5" s="19" t="e">
        <f t="shared" si="3"/>
        <v>#DIV/0!</v>
      </c>
      <c r="Z5" s="20" t="e">
        <f>(T5+U5+(PV(#REF!,'3.4 - Open'!K5,'3.4 - Open'!P5)*-1)+'3.4 - Open'!O5)/'3.4 - Open'!E5</f>
        <v>#REF!</v>
      </c>
      <c r="AA5" s="20" t="e">
        <f t="shared" ref="AA5:AA36" si="13">((T5+U5)/1.1)/M5</f>
        <v>#DIV/0!</v>
      </c>
      <c r="AB5" s="21">
        <f t="shared" si="4"/>
        <v>0</v>
      </c>
      <c r="AC5" s="20">
        <f t="shared" si="5"/>
        <v>0</v>
      </c>
      <c r="AD5" s="20">
        <f t="shared" si="6"/>
        <v>0</v>
      </c>
      <c r="AE5" s="20">
        <f t="shared" si="7"/>
        <v>0</v>
      </c>
      <c r="AF5" s="19" t="e">
        <f t="shared" si="8"/>
        <v>#DIV/0!</v>
      </c>
      <c r="AG5" s="19" t="e">
        <f t="shared" si="9"/>
        <v>#DIV/0!</v>
      </c>
      <c r="AH5" s="19" t="e">
        <f t="shared" si="10"/>
        <v>#DIV/0!</v>
      </c>
      <c r="AI5" s="19" t="e">
        <f t="shared" si="11"/>
        <v>#DIV/0!</v>
      </c>
      <c r="AJ5" s="15">
        <f t="shared" ref="AJ5:AJ36" si="14">((G5*0.12)-M5)*B5</f>
        <v>0</v>
      </c>
      <c r="AK5" s="19" t="e">
        <f t="shared" ref="AK5:AK68" si="15">AJ5*(T5/(T5+U5))</f>
        <v>#DIV/0!</v>
      </c>
      <c r="AL5" s="19" t="e">
        <f t="shared" ref="AL5:AL68" si="16">AJ5-AK5</f>
        <v>#DIV/0!</v>
      </c>
      <c r="AM5" s="19">
        <f t="shared" si="12"/>
        <v>0</v>
      </c>
      <c r="AN5" s="19" t="e">
        <f t="shared" ref="AN5:AN68" si="17">AM5*(T5/(T5+U5))</f>
        <v>#DIV/0!</v>
      </c>
      <c r="AO5" s="19" t="e">
        <f t="shared" ref="AO5:AO68" si="18">AM5-AN5</f>
        <v>#DIV/0!</v>
      </c>
      <c r="AP5" s="18" t="e">
        <f>-PV(#REF!,'3.4 - Open'!K5,'3.4 - Open'!P5)*'3.4 - Open'!B5</f>
        <v>#REF!</v>
      </c>
      <c r="AQ5" s="19" t="e">
        <f t="shared" ref="AQ5:AQ68" si="19">AP5*(T5/(T5+U5))</f>
        <v>#REF!</v>
      </c>
      <c r="AR5" s="19" t="e">
        <f t="shared" ref="AR5:AR68" si="20">AP5-AQ5</f>
        <v>#REF!</v>
      </c>
      <c r="AS5" s="18" t="e">
        <f>B5*G5*K5*#REF!</f>
        <v>#REF!</v>
      </c>
      <c r="AT5" s="19" t="e">
        <f>B5*I5*K5*#REF!</f>
        <v>#REF!</v>
      </c>
      <c r="AU5" s="24"/>
      <c r="AV5" s="24"/>
      <c r="AW5" s="24"/>
      <c r="AX5" s="24"/>
      <c r="AY5" s="24"/>
      <c r="BK5" s="22" t="s">
        <v>5</v>
      </c>
    </row>
    <row r="6" spans="1:63" x14ac:dyDescent="0.25">
      <c r="A6" s="86"/>
      <c r="B6" s="86"/>
      <c r="C6" s="86"/>
      <c r="D6" s="86"/>
      <c r="E6" s="87"/>
      <c r="F6" s="87"/>
      <c r="G6" s="86"/>
      <c r="H6" s="86"/>
      <c r="I6" s="86"/>
      <c r="J6" s="86"/>
      <c r="K6" s="86"/>
      <c r="L6" s="86"/>
      <c r="M6" s="87"/>
      <c r="N6" s="87"/>
      <c r="O6" s="87"/>
      <c r="P6" s="87"/>
      <c r="Q6" s="87"/>
      <c r="R6" s="87"/>
      <c r="S6" s="87"/>
      <c r="T6" s="18">
        <f>IF(C6="Res Space Heat",VLOOKUP(K6,#REF!,4)*G6,IF(C6="Res AC",VLOOKUP(K6,#REF!,6)*G6,IF(C6="Res Lighting",VLOOKUP(K6,#REF!,8)*G6,IF(C6="Res Refrigeration",VLOOKUP(K6,#REF!,10)*G6,IF(C6="Res Water Heating",VLOOKUP(K6,#REF!,12)*G6,IF(C6="Res Dishwasher",VLOOKUP(K6,#REF!,14)*G6,IF(C6="Res Washer Dryer",VLOOKUP(K6,#REF!,16)*G6,IF(C6="Res Misc",VLOOKUP(K6,#REF!,18)*G6,IF(C6="Res Furnace Fan",VLOOKUP(K6,#REF!,20)*G6,IF(C6="NonRes Compressed Air",VLOOKUP(K6,#REF!,22)*G6,IF(C6="NonRes Cooking",VLOOKUP(K6,#REF!,24)*G6,IF(C6="NonRes Space Cooling",VLOOKUP(K6,#REF!,26)*G6,IF(C6="NonRes Exterior Lighting",VLOOKUP(K6,#REF!,28)*G6,IF(C6="NonRes Space Heating",VLOOKUP(K6,#REF!,30)*G6,IF(C6="NonRes Water Heating",VLOOKUP(K6,#REF!,32)*G6,IF(C6="NonRes Interior Lighting",VLOOKUP(K6,#REF!,34)*G6,IF(C6="NonRes Misc",VLOOKUP(K6,#REF!,36)*G6,IF(C6="NonRes Motors",VLOOKUP(K6,#REF!,38)*G6,IF(C6="NonRes Office Equipment",VLOOKUP(K6,#REF!,40)*G6,IF(C6="NonRes Process",VLOOKUP(K6,#REF!,42)*G6,IF(C6="NonRes Refrigeration",VLOOKUP(K6,#REF!,44)*G6,IF(C6="NonRes Ventilation",VLOOKUP(K6,#REF!,46)*G6,0))))))))))))))))))))))</f>
        <v>0</v>
      </c>
      <c r="U6" s="18">
        <f>IF(D6="Annual",VLOOKUP(K6,#REF!,4)*'3.4 - Open'!I6,IF(D6="Winter",VLOOKUP('3.4 - Open'!K6,#REF!,5)*'3.4 - Open'!I6,IF(D6="NA",0,0)))</f>
        <v>0</v>
      </c>
      <c r="V6" s="19" t="e">
        <f t="shared" si="0"/>
        <v>#DIV/0!</v>
      </c>
      <c r="W6" s="19" t="e">
        <f t="shared" si="1"/>
        <v>#DIV/0!</v>
      </c>
      <c r="X6" s="19" t="e">
        <f t="shared" si="2"/>
        <v>#DIV/0!</v>
      </c>
      <c r="Y6" s="19" t="e">
        <f t="shared" si="3"/>
        <v>#DIV/0!</v>
      </c>
      <c r="Z6" s="20" t="e">
        <f>(T6+U6+(PV(#REF!,'3.4 - Open'!K6,'3.4 - Open'!P6)*-1)+'3.4 - Open'!O6)/'3.4 - Open'!E6</f>
        <v>#REF!</v>
      </c>
      <c r="AA6" s="20" t="e">
        <f t="shared" si="13"/>
        <v>#DIV/0!</v>
      </c>
      <c r="AB6" s="21">
        <f t="shared" si="4"/>
        <v>0</v>
      </c>
      <c r="AC6" s="20">
        <f t="shared" si="5"/>
        <v>0</v>
      </c>
      <c r="AD6" s="20">
        <f t="shared" si="6"/>
        <v>0</v>
      </c>
      <c r="AE6" s="20">
        <f t="shared" si="7"/>
        <v>0</v>
      </c>
      <c r="AF6" s="19" t="e">
        <f t="shared" si="8"/>
        <v>#DIV/0!</v>
      </c>
      <c r="AG6" s="19" t="e">
        <f t="shared" si="9"/>
        <v>#DIV/0!</v>
      </c>
      <c r="AH6" s="19" t="e">
        <f t="shared" si="10"/>
        <v>#DIV/0!</v>
      </c>
      <c r="AI6" s="19" t="e">
        <f t="shared" si="11"/>
        <v>#DIV/0!</v>
      </c>
      <c r="AJ6" s="15">
        <f t="shared" si="14"/>
        <v>0</v>
      </c>
      <c r="AK6" s="19" t="e">
        <f t="shared" si="15"/>
        <v>#DIV/0!</v>
      </c>
      <c r="AL6" s="19" t="e">
        <f t="shared" si="16"/>
        <v>#DIV/0!</v>
      </c>
      <c r="AM6" s="19">
        <f t="shared" si="12"/>
        <v>0</v>
      </c>
      <c r="AN6" s="19" t="e">
        <f t="shared" si="17"/>
        <v>#DIV/0!</v>
      </c>
      <c r="AO6" s="19" t="e">
        <f t="shared" si="18"/>
        <v>#DIV/0!</v>
      </c>
      <c r="AP6" s="18" t="e">
        <f>-PV(#REF!,'3.4 - Open'!K6,'3.4 - Open'!P6)*'3.4 - Open'!B6</f>
        <v>#REF!</v>
      </c>
      <c r="AQ6" s="19" t="e">
        <f t="shared" si="19"/>
        <v>#REF!</v>
      </c>
      <c r="AR6" s="19" t="e">
        <f t="shared" si="20"/>
        <v>#REF!</v>
      </c>
      <c r="AS6" s="18" t="e">
        <f>B6*G6*K6*#REF!</f>
        <v>#REF!</v>
      </c>
      <c r="AT6" s="19" t="e">
        <f>B6*I6*K6*#REF!</f>
        <v>#REF!</v>
      </c>
      <c r="AU6" s="24"/>
      <c r="AV6" s="24"/>
      <c r="AW6" s="24"/>
      <c r="AX6" s="24"/>
      <c r="AY6" s="24"/>
      <c r="BK6" s="22" t="s">
        <v>6</v>
      </c>
    </row>
    <row r="7" spans="1:63" x14ac:dyDescent="0.25">
      <c r="A7" s="86"/>
      <c r="B7" s="86"/>
      <c r="C7" s="86"/>
      <c r="D7" s="86"/>
      <c r="E7" s="87"/>
      <c r="F7" s="87"/>
      <c r="G7" s="86"/>
      <c r="H7" s="86"/>
      <c r="I7" s="86"/>
      <c r="J7" s="86"/>
      <c r="K7" s="86"/>
      <c r="L7" s="86"/>
      <c r="M7" s="87"/>
      <c r="N7" s="87"/>
      <c r="O7" s="87"/>
      <c r="P7" s="87"/>
      <c r="Q7" s="87"/>
      <c r="R7" s="87"/>
      <c r="S7" s="87"/>
      <c r="T7" s="18">
        <f>IF(C7="Res Space Heat",VLOOKUP(K7,#REF!,4)*G7,IF(C7="Res AC",VLOOKUP(K7,#REF!,6)*G7,IF(C7="Res Lighting",VLOOKUP(K7,#REF!,8)*G7,IF(C7="Res Refrigeration",VLOOKUP(K7,#REF!,10)*G7,IF(C7="Res Water Heating",VLOOKUP(K7,#REF!,12)*G7,IF(C7="Res Dishwasher",VLOOKUP(K7,#REF!,14)*G7,IF(C7="Res Washer Dryer",VLOOKUP(K7,#REF!,16)*G7,IF(C7="Res Misc",VLOOKUP(K7,#REF!,18)*G7,IF(C7="Res Furnace Fan",VLOOKUP(K7,#REF!,20)*G7,IF(C7="NonRes Compressed Air",VLOOKUP(K7,#REF!,22)*G7,IF(C7="NonRes Cooking",VLOOKUP(K7,#REF!,24)*G7,IF(C7="NonRes Space Cooling",VLOOKUP(K7,#REF!,26)*G7,IF(C7="NonRes Exterior Lighting",VLOOKUP(K7,#REF!,28)*G7,IF(C7="NonRes Space Heating",VLOOKUP(K7,#REF!,30)*G7,IF(C7="NonRes Water Heating",VLOOKUP(K7,#REF!,32)*G7,IF(C7="NonRes Interior Lighting",VLOOKUP(K7,#REF!,34)*G7,IF(C7="NonRes Misc",VLOOKUP(K7,#REF!,36)*G7,IF(C7="NonRes Motors",VLOOKUP(K7,#REF!,38)*G7,IF(C7="NonRes Office Equipment",VLOOKUP(K7,#REF!,40)*G7,IF(C7="NonRes Process",VLOOKUP(K7,#REF!,42)*G7,IF(C7="NonRes Refrigeration",VLOOKUP(K7,#REF!,44)*G7,IF(C7="NonRes Ventilation",VLOOKUP(K7,#REF!,46)*G7,0))))))))))))))))))))))</f>
        <v>0</v>
      </c>
      <c r="U7" s="18">
        <f>IF(D7="Annual",VLOOKUP(K7,#REF!,4)*'3.4 - Open'!I7,IF(D7="Winter",VLOOKUP('3.4 - Open'!K7,#REF!,5)*'3.4 - Open'!I7,IF(D7="NA",0,0)))</f>
        <v>0</v>
      </c>
      <c r="V7" s="19" t="e">
        <f t="shared" si="0"/>
        <v>#DIV/0!</v>
      </c>
      <c r="W7" s="19" t="e">
        <f t="shared" si="1"/>
        <v>#DIV/0!</v>
      </c>
      <c r="X7" s="19" t="e">
        <f t="shared" si="2"/>
        <v>#DIV/0!</v>
      </c>
      <c r="Y7" s="19" t="e">
        <f t="shared" si="3"/>
        <v>#DIV/0!</v>
      </c>
      <c r="Z7" s="20" t="e">
        <f>(T7+U7+(PV(#REF!,'3.4 - Open'!K7,'3.4 - Open'!P7)*-1)+'3.4 - Open'!O7)/'3.4 - Open'!E7</f>
        <v>#REF!</v>
      </c>
      <c r="AA7" s="20" t="e">
        <f t="shared" si="13"/>
        <v>#DIV/0!</v>
      </c>
      <c r="AB7" s="21">
        <f t="shared" si="4"/>
        <v>0</v>
      </c>
      <c r="AC7" s="20">
        <f t="shared" si="5"/>
        <v>0</v>
      </c>
      <c r="AD7" s="20">
        <f t="shared" si="6"/>
        <v>0</v>
      </c>
      <c r="AE7" s="20">
        <f t="shared" si="7"/>
        <v>0</v>
      </c>
      <c r="AF7" s="19" t="e">
        <f t="shared" si="8"/>
        <v>#DIV/0!</v>
      </c>
      <c r="AG7" s="19" t="e">
        <f t="shared" si="9"/>
        <v>#DIV/0!</v>
      </c>
      <c r="AH7" s="19" t="e">
        <f t="shared" si="10"/>
        <v>#DIV/0!</v>
      </c>
      <c r="AI7" s="19" t="e">
        <f t="shared" si="11"/>
        <v>#DIV/0!</v>
      </c>
      <c r="AJ7" s="15">
        <f t="shared" si="14"/>
        <v>0</v>
      </c>
      <c r="AK7" s="19" t="e">
        <f t="shared" si="15"/>
        <v>#DIV/0!</v>
      </c>
      <c r="AL7" s="19" t="e">
        <f t="shared" si="16"/>
        <v>#DIV/0!</v>
      </c>
      <c r="AM7" s="19">
        <f t="shared" si="12"/>
        <v>0</v>
      </c>
      <c r="AN7" s="19" t="e">
        <f t="shared" si="17"/>
        <v>#DIV/0!</v>
      </c>
      <c r="AO7" s="19" t="e">
        <f t="shared" si="18"/>
        <v>#DIV/0!</v>
      </c>
      <c r="AP7" s="18" t="e">
        <f>-PV(#REF!,'3.4 - Open'!K7,'3.4 - Open'!P7)*'3.4 - Open'!B7</f>
        <v>#REF!</v>
      </c>
      <c r="AQ7" s="19" t="e">
        <f t="shared" si="19"/>
        <v>#REF!</v>
      </c>
      <c r="AR7" s="19" t="e">
        <f t="shared" si="20"/>
        <v>#REF!</v>
      </c>
      <c r="AS7" s="18" t="e">
        <f>B7*G7*K7*#REF!</f>
        <v>#REF!</v>
      </c>
      <c r="AT7" s="19" t="e">
        <f>B7*I7*K7*#REF!</f>
        <v>#REF!</v>
      </c>
      <c r="AU7" s="24"/>
      <c r="AV7" s="24"/>
      <c r="AW7" s="24"/>
      <c r="AX7" s="24"/>
      <c r="AY7" s="24"/>
      <c r="BK7" s="22" t="s">
        <v>7</v>
      </c>
    </row>
    <row r="8" spans="1:63" x14ac:dyDescent="0.25">
      <c r="A8" s="86"/>
      <c r="B8" s="86"/>
      <c r="C8" s="86"/>
      <c r="D8" s="86"/>
      <c r="E8" s="87"/>
      <c r="F8" s="87"/>
      <c r="G8" s="86"/>
      <c r="H8" s="86"/>
      <c r="I8" s="86"/>
      <c r="J8" s="86"/>
      <c r="K8" s="86"/>
      <c r="L8" s="86"/>
      <c r="M8" s="87"/>
      <c r="N8" s="87"/>
      <c r="O8" s="87"/>
      <c r="P8" s="87"/>
      <c r="Q8" s="87"/>
      <c r="R8" s="87"/>
      <c r="S8" s="87"/>
      <c r="T8" s="18">
        <f>IF(C8="Res Space Heat",VLOOKUP(K8,#REF!,4)*G8,IF(C8="Res AC",VLOOKUP(K8,#REF!,6)*G8,IF(C8="Res Lighting",VLOOKUP(K8,#REF!,8)*G8,IF(C8="Res Refrigeration",VLOOKUP(K8,#REF!,10)*G8,IF(C8="Res Water Heating",VLOOKUP(K8,#REF!,12)*G8,IF(C8="Res Dishwasher",VLOOKUP(K8,#REF!,14)*G8,IF(C8="Res Washer Dryer",VLOOKUP(K8,#REF!,16)*G8,IF(C8="Res Misc",VLOOKUP(K8,#REF!,18)*G8,IF(C8="Res Furnace Fan",VLOOKUP(K8,#REF!,20)*G8,IF(C8="NonRes Compressed Air",VLOOKUP(K8,#REF!,22)*G8,IF(C8="NonRes Cooking",VLOOKUP(K8,#REF!,24)*G8,IF(C8="NonRes Space Cooling",VLOOKUP(K8,#REF!,26)*G8,IF(C8="NonRes Exterior Lighting",VLOOKUP(K8,#REF!,28)*G8,IF(C8="NonRes Space Heating",VLOOKUP(K8,#REF!,30)*G8,IF(C8="NonRes Water Heating",VLOOKUP(K8,#REF!,32)*G8,IF(C8="NonRes Interior Lighting",VLOOKUP(K8,#REF!,34)*G8,IF(C8="NonRes Misc",VLOOKUP(K8,#REF!,36)*G8,IF(C8="NonRes Motors",VLOOKUP(K8,#REF!,38)*G8,IF(C8="NonRes Office Equipment",VLOOKUP(K8,#REF!,40)*G8,IF(C8="NonRes Process",VLOOKUP(K8,#REF!,42)*G8,IF(C8="NonRes Refrigeration",VLOOKUP(K8,#REF!,44)*G8,IF(C8="NonRes Ventilation",VLOOKUP(K8,#REF!,46)*G8,0))))))))))))))))))))))</f>
        <v>0</v>
      </c>
      <c r="U8" s="18">
        <f>IF(D8="Annual",VLOOKUP(K8,#REF!,4)*'3.4 - Open'!I8,IF(D8="Winter",VLOOKUP('3.4 - Open'!K8,#REF!,5)*'3.4 - Open'!I8,IF(D8="NA",0,0)))</f>
        <v>0</v>
      </c>
      <c r="V8" s="19" t="e">
        <f t="shared" si="0"/>
        <v>#DIV/0!</v>
      </c>
      <c r="W8" s="19" t="e">
        <f t="shared" si="1"/>
        <v>#DIV/0!</v>
      </c>
      <c r="X8" s="19" t="e">
        <f t="shared" si="2"/>
        <v>#DIV/0!</v>
      </c>
      <c r="Y8" s="19" t="e">
        <f t="shared" si="3"/>
        <v>#DIV/0!</v>
      </c>
      <c r="Z8" s="20" t="e">
        <f>(T8+U8+(PV(#REF!,'3.4 - Open'!K8,'3.4 - Open'!P8)*-1)+'3.4 - Open'!O8)/'3.4 - Open'!E8</f>
        <v>#REF!</v>
      </c>
      <c r="AA8" s="20" t="e">
        <f t="shared" si="13"/>
        <v>#DIV/0!</v>
      </c>
      <c r="AB8" s="21">
        <f t="shared" si="4"/>
        <v>0</v>
      </c>
      <c r="AC8" s="20">
        <f t="shared" si="5"/>
        <v>0</v>
      </c>
      <c r="AD8" s="20">
        <f t="shared" si="6"/>
        <v>0</v>
      </c>
      <c r="AE8" s="20">
        <f t="shared" si="7"/>
        <v>0</v>
      </c>
      <c r="AF8" s="19" t="e">
        <f t="shared" si="8"/>
        <v>#DIV/0!</v>
      </c>
      <c r="AG8" s="19" t="e">
        <f t="shared" si="9"/>
        <v>#DIV/0!</v>
      </c>
      <c r="AH8" s="19" t="e">
        <f t="shared" si="10"/>
        <v>#DIV/0!</v>
      </c>
      <c r="AI8" s="19" t="e">
        <f t="shared" si="11"/>
        <v>#DIV/0!</v>
      </c>
      <c r="AJ8" s="15">
        <f t="shared" si="14"/>
        <v>0</v>
      </c>
      <c r="AK8" s="19" t="e">
        <f t="shared" si="15"/>
        <v>#DIV/0!</v>
      </c>
      <c r="AL8" s="19" t="e">
        <f t="shared" si="16"/>
        <v>#DIV/0!</v>
      </c>
      <c r="AM8" s="19">
        <f t="shared" si="12"/>
        <v>0</v>
      </c>
      <c r="AN8" s="19" t="e">
        <f t="shared" si="17"/>
        <v>#DIV/0!</v>
      </c>
      <c r="AO8" s="19" t="e">
        <f t="shared" si="18"/>
        <v>#DIV/0!</v>
      </c>
      <c r="AP8" s="18" t="e">
        <f>-PV(#REF!,'3.4 - Open'!K8,'3.4 - Open'!P8)*'3.4 - Open'!B8</f>
        <v>#REF!</v>
      </c>
      <c r="AQ8" s="19" t="e">
        <f t="shared" si="19"/>
        <v>#REF!</v>
      </c>
      <c r="AR8" s="19" t="e">
        <f t="shared" si="20"/>
        <v>#REF!</v>
      </c>
      <c r="AS8" s="18" t="e">
        <f>B8*G8*K8*#REF!</f>
        <v>#REF!</v>
      </c>
      <c r="AT8" s="19" t="e">
        <f>B8*I8*K8*#REF!</f>
        <v>#REF!</v>
      </c>
      <c r="AU8" s="24"/>
      <c r="AV8" s="24"/>
      <c r="AW8" s="24"/>
      <c r="AX8" s="24"/>
      <c r="AY8" s="24"/>
      <c r="BK8" s="22" t="s">
        <v>8</v>
      </c>
    </row>
    <row r="9" spans="1:63" x14ac:dyDescent="0.25">
      <c r="A9" s="86"/>
      <c r="B9" s="86"/>
      <c r="C9" s="86"/>
      <c r="D9" s="86"/>
      <c r="E9" s="87"/>
      <c r="F9" s="87"/>
      <c r="G9" s="86"/>
      <c r="H9" s="86"/>
      <c r="I9" s="86"/>
      <c r="J9" s="86"/>
      <c r="K9" s="86"/>
      <c r="L9" s="86"/>
      <c r="M9" s="87"/>
      <c r="N9" s="87"/>
      <c r="O9" s="87"/>
      <c r="P9" s="87"/>
      <c r="Q9" s="87"/>
      <c r="R9" s="87"/>
      <c r="S9" s="87"/>
      <c r="T9" s="18">
        <f>IF(C9="Res Space Heat",VLOOKUP(K9,#REF!,4)*G9,IF(C9="Res AC",VLOOKUP(K9,#REF!,6)*G9,IF(C9="Res Lighting",VLOOKUP(K9,#REF!,8)*G9,IF(C9="Res Refrigeration",VLOOKUP(K9,#REF!,10)*G9,IF(C9="Res Water Heating",VLOOKUP(K9,#REF!,12)*G9,IF(C9="Res Dishwasher",VLOOKUP(K9,#REF!,14)*G9,IF(C9="Res Washer Dryer",VLOOKUP(K9,#REF!,16)*G9,IF(C9="Res Misc",VLOOKUP(K9,#REF!,18)*G9,IF(C9="Res Furnace Fan",VLOOKUP(K9,#REF!,20)*G9,IF(C9="NonRes Compressed Air",VLOOKUP(K9,#REF!,22)*G9,IF(C9="NonRes Cooking",VLOOKUP(K9,#REF!,24)*G9,IF(C9="NonRes Space Cooling",VLOOKUP(K9,#REF!,26)*G9,IF(C9="NonRes Exterior Lighting",VLOOKUP(K9,#REF!,28)*G9,IF(C9="NonRes Space Heating",VLOOKUP(K9,#REF!,30)*G9,IF(C9="NonRes Water Heating",VLOOKUP(K9,#REF!,32)*G9,IF(C9="NonRes Interior Lighting",VLOOKUP(K9,#REF!,34)*G9,IF(C9="NonRes Misc",VLOOKUP(K9,#REF!,36)*G9,IF(C9="NonRes Motors",VLOOKUP(K9,#REF!,38)*G9,IF(C9="NonRes Office Equipment",VLOOKUP(K9,#REF!,40)*G9,IF(C9="NonRes Process",VLOOKUP(K9,#REF!,42)*G9,IF(C9="NonRes Refrigeration",VLOOKUP(K9,#REF!,44)*G9,IF(C9="NonRes Ventilation",VLOOKUP(K9,#REF!,46)*G9,0))))))))))))))))))))))</f>
        <v>0</v>
      </c>
      <c r="U9" s="18">
        <f>IF(D9="Annual",VLOOKUP(K9,#REF!,4)*'3.4 - Open'!I9,IF(D9="Winter",VLOOKUP('3.4 - Open'!K9,#REF!,5)*'3.4 - Open'!I9,IF(D9="NA",0,0)))</f>
        <v>0</v>
      </c>
      <c r="V9" s="19" t="e">
        <f t="shared" si="0"/>
        <v>#DIV/0!</v>
      </c>
      <c r="W9" s="19" t="e">
        <f t="shared" si="1"/>
        <v>#DIV/0!</v>
      </c>
      <c r="X9" s="19" t="e">
        <f t="shared" si="2"/>
        <v>#DIV/0!</v>
      </c>
      <c r="Y9" s="19" t="e">
        <f t="shared" si="3"/>
        <v>#DIV/0!</v>
      </c>
      <c r="Z9" s="20" t="e">
        <f>(T9+U9+(PV(#REF!,'3.4 - Open'!K9,'3.4 - Open'!P9)*-1)+'3.4 - Open'!O9)/'3.4 - Open'!E9</f>
        <v>#REF!</v>
      </c>
      <c r="AA9" s="20" t="e">
        <f t="shared" si="13"/>
        <v>#DIV/0!</v>
      </c>
      <c r="AB9" s="21">
        <f t="shared" si="4"/>
        <v>0</v>
      </c>
      <c r="AC9" s="20">
        <f t="shared" si="5"/>
        <v>0</v>
      </c>
      <c r="AD9" s="20">
        <f t="shared" si="6"/>
        <v>0</v>
      </c>
      <c r="AE9" s="20">
        <f t="shared" si="7"/>
        <v>0</v>
      </c>
      <c r="AF9" s="19" t="e">
        <f t="shared" si="8"/>
        <v>#DIV/0!</v>
      </c>
      <c r="AG9" s="19" t="e">
        <f t="shared" si="9"/>
        <v>#DIV/0!</v>
      </c>
      <c r="AH9" s="19" t="e">
        <f t="shared" si="10"/>
        <v>#DIV/0!</v>
      </c>
      <c r="AI9" s="19" t="e">
        <f t="shared" si="11"/>
        <v>#DIV/0!</v>
      </c>
      <c r="AJ9" s="15">
        <f t="shared" si="14"/>
        <v>0</v>
      </c>
      <c r="AK9" s="19" t="e">
        <f t="shared" si="15"/>
        <v>#DIV/0!</v>
      </c>
      <c r="AL9" s="19" t="e">
        <f t="shared" si="16"/>
        <v>#DIV/0!</v>
      </c>
      <c r="AM9" s="19">
        <f t="shared" si="12"/>
        <v>0</v>
      </c>
      <c r="AN9" s="19" t="e">
        <f t="shared" si="17"/>
        <v>#DIV/0!</v>
      </c>
      <c r="AO9" s="19" t="e">
        <f t="shared" si="18"/>
        <v>#DIV/0!</v>
      </c>
      <c r="AP9" s="18" t="e">
        <f>-PV(#REF!,'3.4 - Open'!K9,'3.4 - Open'!P9)*'3.4 - Open'!B9</f>
        <v>#REF!</v>
      </c>
      <c r="AQ9" s="19" t="e">
        <f t="shared" si="19"/>
        <v>#REF!</v>
      </c>
      <c r="AR9" s="19" t="e">
        <f t="shared" si="20"/>
        <v>#REF!</v>
      </c>
      <c r="AS9" s="18" t="e">
        <f>B9*G9*K9*#REF!</f>
        <v>#REF!</v>
      </c>
      <c r="AT9" s="19" t="e">
        <f>B9*I9*K9*#REF!</f>
        <v>#REF!</v>
      </c>
      <c r="AU9" s="24"/>
      <c r="AV9" s="24"/>
      <c r="AW9" s="24"/>
      <c r="AX9" s="24"/>
      <c r="AY9" s="24"/>
      <c r="BK9" s="22" t="s">
        <v>9</v>
      </c>
    </row>
    <row r="10" spans="1:63" x14ac:dyDescent="0.25">
      <c r="A10" s="86"/>
      <c r="B10" s="86"/>
      <c r="C10" s="86"/>
      <c r="D10" s="86"/>
      <c r="E10" s="87"/>
      <c r="F10" s="87"/>
      <c r="G10" s="86"/>
      <c r="H10" s="86"/>
      <c r="I10" s="86"/>
      <c r="J10" s="86"/>
      <c r="K10" s="86"/>
      <c r="L10" s="86"/>
      <c r="M10" s="87"/>
      <c r="N10" s="87"/>
      <c r="O10" s="87"/>
      <c r="P10" s="87"/>
      <c r="Q10" s="87"/>
      <c r="R10" s="87"/>
      <c r="S10" s="87"/>
      <c r="T10" s="18">
        <f>IF(C10="Res Space Heat",VLOOKUP(K10,#REF!,4)*G10,IF(C10="Res AC",VLOOKUP(K10,#REF!,6)*G10,IF(C10="Res Lighting",VLOOKUP(K10,#REF!,8)*G10,IF(C10="Res Refrigeration",VLOOKUP(K10,#REF!,10)*G10,IF(C10="Res Water Heating",VLOOKUP(K10,#REF!,12)*G10,IF(C10="Res Dishwasher",VLOOKUP(K10,#REF!,14)*G10,IF(C10="Res Washer Dryer",VLOOKUP(K10,#REF!,16)*G10,IF(C10="Res Misc",VLOOKUP(K10,#REF!,18)*G10,IF(C10="Res Furnace Fan",VLOOKUP(K10,#REF!,20)*G10,IF(C10="NonRes Compressed Air",VLOOKUP(K10,#REF!,22)*G10,IF(C10="NonRes Cooking",VLOOKUP(K10,#REF!,24)*G10,IF(C10="NonRes Space Cooling",VLOOKUP(K10,#REF!,26)*G10,IF(C10="NonRes Exterior Lighting",VLOOKUP(K10,#REF!,28)*G10,IF(C10="NonRes Space Heating",VLOOKUP(K10,#REF!,30)*G10,IF(C10="NonRes Water Heating",VLOOKUP(K10,#REF!,32)*G10,IF(C10="NonRes Interior Lighting",VLOOKUP(K10,#REF!,34)*G10,IF(C10="NonRes Misc",VLOOKUP(K10,#REF!,36)*G10,IF(C10="NonRes Motors",VLOOKUP(K10,#REF!,38)*G10,IF(C10="NonRes Office Equipment",VLOOKUP(K10,#REF!,40)*G10,IF(C10="NonRes Process",VLOOKUP(K10,#REF!,42)*G10,IF(C10="NonRes Refrigeration",VLOOKUP(K10,#REF!,44)*G10,IF(C10="NonRes Ventilation",VLOOKUP(K10,#REF!,46)*G10,0))))))))))))))))))))))</f>
        <v>0</v>
      </c>
      <c r="U10" s="18">
        <f>IF(D10="Annual",VLOOKUP(K10,#REF!,4)*'3.4 - Open'!I10,IF(D10="Winter",VLOOKUP('3.4 - Open'!K10,#REF!,5)*'3.4 - Open'!I10,IF(D10="NA",0,0)))</f>
        <v>0</v>
      </c>
      <c r="V10" s="19" t="e">
        <f t="shared" si="0"/>
        <v>#DIV/0!</v>
      </c>
      <c r="W10" s="19" t="e">
        <f t="shared" si="1"/>
        <v>#DIV/0!</v>
      </c>
      <c r="X10" s="19" t="e">
        <f t="shared" si="2"/>
        <v>#DIV/0!</v>
      </c>
      <c r="Y10" s="19" t="e">
        <f t="shared" si="3"/>
        <v>#DIV/0!</v>
      </c>
      <c r="Z10" s="20" t="e">
        <f>(T10+U10+(PV(#REF!,'3.4 - Open'!K10,'3.4 - Open'!P10)*-1)+'3.4 - Open'!O10)/'3.4 - Open'!E10</f>
        <v>#REF!</v>
      </c>
      <c r="AA10" s="20" t="e">
        <f t="shared" si="13"/>
        <v>#DIV/0!</v>
      </c>
      <c r="AB10" s="21">
        <f t="shared" si="4"/>
        <v>0</v>
      </c>
      <c r="AC10" s="20">
        <f t="shared" si="5"/>
        <v>0</v>
      </c>
      <c r="AD10" s="20">
        <f t="shared" si="6"/>
        <v>0</v>
      </c>
      <c r="AE10" s="20">
        <f t="shared" si="7"/>
        <v>0</v>
      </c>
      <c r="AF10" s="19" t="e">
        <f t="shared" si="8"/>
        <v>#DIV/0!</v>
      </c>
      <c r="AG10" s="19" t="e">
        <f t="shared" si="9"/>
        <v>#DIV/0!</v>
      </c>
      <c r="AH10" s="19" t="e">
        <f t="shared" si="10"/>
        <v>#DIV/0!</v>
      </c>
      <c r="AI10" s="19" t="e">
        <f t="shared" si="11"/>
        <v>#DIV/0!</v>
      </c>
      <c r="AJ10" s="15">
        <f t="shared" si="14"/>
        <v>0</v>
      </c>
      <c r="AK10" s="19" t="e">
        <f t="shared" si="15"/>
        <v>#DIV/0!</v>
      </c>
      <c r="AL10" s="19" t="e">
        <f t="shared" si="16"/>
        <v>#DIV/0!</v>
      </c>
      <c r="AM10" s="19">
        <f t="shared" si="12"/>
        <v>0</v>
      </c>
      <c r="AN10" s="19" t="e">
        <f t="shared" si="17"/>
        <v>#DIV/0!</v>
      </c>
      <c r="AO10" s="19" t="e">
        <f t="shared" si="18"/>
        <v>#DIV/0!</v>
      </c>
      <c r="AP10" s="18" t="e">
        <f>-PV(#REF!,'3.4 - Open'!K10,'3.4 - Open'!P10)*'3.4 - Open'!B10</f>
        <v>#REF!</v>
      </c>
      <c r="AQ10" s="19" t="e">
        <f t="shared" si="19"/>
        <v>#REF!</v>
      </c>
      <c r="AR10" s="19" t="e">
        <f t="shared" si="20"/>
        <v>#REF!</v>
      </c>
      <c r="AS10" s="18" t="e">
        <f>B10*G10*K10*#REF!</f>
        <v>#REF!</v>
      </c>
      <c r="AT10" s="19" t="e">
        <f>B10*I10*K10*#REF!</f>
        <v>#REF!</v>
      </c>
      <c r="AU10" s="24"/>
      <c r="AV10" s="24"/>
      <c r="AW10" s="24"/>
      <c r="AX10" s="24"/>
      <c r="AY10" s="24"/>
      <c r="BK10" s="22" t="s">
        <v>10</v>
      </c>
    </row>
    <row r="11" spans="1:63" x14ac:dyDescent="0.25">
      <c r="A11" s="86"/>
      <c r="B11" s="86"/>
      <c r="C11" s="86"/>
      <c r="D11" s="86"/>
      <c r="E11" s="87"/>
      <c r="F11" s="87"/>
      <c r="G11" s="86"/>
      <c r="H11" s="86"/>
      <c r="I11" s="86"/>
      <c r="J11" s="86"/>
      <c r="K11" s="86"/>
      <c r="L11" s="86"/>
      <c r="M11" s="87"/>
      <c r="N11" s="87"/>
      <c r="O11" s="87"/>
      <c r="P11" s="87"/>
      <c r="Q11" s="87"/>
      <c r="R11" s="87"/>
      <c r="S11" s="87"/>
      <c r="T11" s="18">
        <f>IF(C11="Res Space Heat",VLOOKUP(K11,#REF!,4)*G11,IF(C11="Res AC",VLOOKUP(K11,#REF!,6)*G11,IF(C11="Res Lighting",VLOOKUP(K11,#REF!,8)*G11,IF(C11="Res Refrigeration",VLOOKUP(K11,#REF!,10)*G11,IF(C11="Res Water Heating",VLOOKUP(K11,#REF!,12)*G11,IF(C11="Res Dishwasher",VLOOKUP(K11,#REF!,14)*G11,IF(C11="Res Washer Dryer",VLOOKUP(K11,#REF!,16)*G11,IF(C11="Res Misc",VLOOKUP(K11,#REF!,18)*G11,IF(C11="Res Furnace Fan",VLOOKUP(K11,#REF!,20)*G11,IF(C11="NonRes Compressed Air",VLOOKUP(K11,#REF!,22)*G11,IF(C11="NonRes Cooking",VLOOKUP(K11,#REF!,24)*G11,IF(C11="NonRes Space Cooling",VLOOKUP(K11,#REF!,26)*G11,IF(C11="NonRes Exterior Lighting",VLOOKUP(K11,#REF!,28)*G11,IF(C11="NonRes Space Heating",VLOOKUP(K11,#REF!,30)*G11,IF(C11="NonRes Water Heating",VLOOKUP(K11,#REF!,32)*G11,IF(C11="NonRes Interior Lighting",VLOOKUP(K11,#REF!,34)*G11,IF(C11="NonRes Misc",VLOOKUP(K11,#REF!,36)*G11,IF(C11="NonRes Motors",VLOOKUP(K11,#REF!,38)*G11,IF(C11="NonRes Office Equipment",VLOOKUP(K11,#REF!,40)*G11,IF(C11="NonRes Process",VLOOKUP(K11,#REF!,42)*G11,IF(C11="NonRes Refrigeration",VLOOKUP(K11,#REF!,44)*G11,IF(C11="NonRes Ventilation",VLOOKUP(K11,#REF!,46)*G11,0))))))))))))))))))))))</f>
        <v>0</v>
      </c>
      <c r="U11" s="18">
        <f>IF(D11="Annual",VLOOKUP(K11,#REF!,4)*'3.4 - Open'!I11,IF(D11="Winter",VLOOKUP('3.4 - Open'!K11,#REF!,5)*'3.4 - Open'!I11,IF(D11="NA",0,0)))</f>
        <v>0</v>
      </c>
      <c r="V11" s="19" t="e">
        <f t="shared" si="0"/>
        <v>#DIV/0!</v>
      </c>
      <c r="W11" s="19" t="e">
        <f t="shared" si="1"/>
        <v>#DIV/0!</v>
      </c>
      <c r="X11" s="19" t="e">
        <f t="shared" si="2"/>
        <v>#DIV/0!</v>
      </c>
      <c r="Y11" s="19" t="e">
        <f t="shared" si="3"/>
        <v>#DIV/0!</v>
      </c>
      <c r="Z11" s="20" t="e">
        <f>(T11+U11+(PV(#REF!,'3.4 - Open'!K11,'3.4 - Open'!P11)*-1)+'3.4 - Open'!O11)/'3.4 - Open'!E11</f>
        <v>#REF!</v>
      </c>
      <c r="AA11" s="20" t="e">
        <f t="shared" si="13"/>
        <v>#DIV/0!</v>
      </c>
      <c r="AB11" s="21">
        <f t="shared" si="4"/>
        <v>0</v>
      </c>
      <c r="AC11" s="20">
        <f t="shared" si="5"/>
        <v>0</v>
      </c>
      <c r="AD11" s="20">
        <f t="shared" si="6"/>
        <v>0</v>
      </c>
      <c r="AE11" s="20">
        <f t="shared" si="7"/>
        <v>0</v>
      </c>
      <c r="AF11" s="19" t="e">
        <f t="shared" si="8"/>
        <v>#DIV/0!</v>
      </c>
      <c r="AG11" s="19" t="e">
        <f t="shared" si="9"/>
        <v>#DIV/0!</v>
      </c>
      <c r="AH11" s="19" t="e">
        <f t="shared" si="10"/>
        <v>#DIV/0!</v>
      </c>
      <c r="AI11" s="19" t="e">
        <f t="shared" si="11"/>
        <v>#DIV/0!</v>
      </c>
      <c r="AJ11" s="15">
        <f t="shared" si="14"/>
        <v>0</v>
      </c>
      <c r="AK11" s="19" t="e">
        <f t="shared" si="15"/>
        <v>#DIV/0!</v>
      </c>
      <c r="AL11" s="19" t="e">
        <f t="shared" si="16"/>
        <v>#DIV/0!</v>
      </c>
      <c r="AM11" s="19">
        <f t="shared" si="12"/>
        <v>0</v>
      </c>
      <c r="AN11" s="19" t="e">
        <f t="shared" si="17"/>
        <v>#DIV/0!</v>
      </c>
      <c r="AO11" s="19" t="e">
        <f t="shared" si="18"/>
        <v>#DIV/0!</v>
      </c>
      <c r="AP11" s="18" t="e">
        <f>-PV(#REF!,'3.4 - Open'!K11,'3.4 - Open'!P11)*'3.4 - Open'!B11</f>
        <v>#REF!</v>
      </c>
      <c r="AQ11" s="19" t="e">
        <f t="shared" si="19"/>
        <v>#REF!</v>
      </c>
      <c r="AR11" s="19" t="e">
        <f t="shared" si="20"/>
        <v>#REF!</v>
      </c>
      <c r="AS11" s="18" t="e">
        <f>B11*G11*K11*#REF!</f>
        <v>#REF!</v>
      </c>
      <c r="AT11" s="19" t="e">
        <f>B11*I11*K11*#REF!</f>
        <v>#REF!</v>
      </c>
      <c r="AU11" s="24"/>
      <c r="AV11" s="24"/>
      <c r="AW11" s="24"/>
      <c r="AX11" s="24"/>
      <c r="AY11" s="24"/>
      <c r="BK11" s="22" t="s">
        <v>11</v>
      </c>
    </row>
    <row r="12" spans="1:63" x14ac:dyDescent="0.25">
      <c r="A12" s="86"/>
      <c r="B12" s="86"/>
      <c r="C12" s="86"/>
      <c r="D12" s="86"/>
      <c r="E12" s="87"/>
      <c r="F12" s="87"/>
      <c r="G12" s="86"/>
      <c r="H12" s="86"/>
      <c r="I12" s="86"/>
      <c r="J12" s="86"/>
      <c r="K12" s="86"/>
      <c r="L12" s="86"/>
      <c r="M12" s="87"/>
      <c r="N12" s="87"/>
      <c r="O12" s="87"/>
      <c r="P12" s="87"/>
      <c r="Q12" s="87"/>
      <c r="R12" s="87"/>
      <c r="S12" s="87"/>
      <c r="T12" s="18">
        <f>IF(C12="Res Space Heat",VLOOKUP(K12,#REF!,4)*G12,IF(C12="Res AC",VLOOKUP(K12,#REF!,6)*G12,IF(C12="Res Lighting",VLOOKUP(K12,#REF!,8)*G12,IF(C12="Res Refrigeration",VLOOKUP(K12,#REF!,10)*G12,IF(C12="Res Water Heating",VLOOKUP(K12,#REF!,12)*G12,IF(C12="Res Dishwasher",VLOOKUP(K12,#REF!,14)*G12,IF(C12="Res Washer Dryer",VLOOKUP(K12,#REF!,16)*G12,IF(C12="Res Misc",VLOOKUP(K12,#REF!,18)*G12,IF(C12="Res Furnace Fan",VLOOKUP(K12,#REF!,20)*G12,IF(C12="NonRes Compressed Air",VLOOKUP(K12,#REF!,22)*G12,IF(C12="NonRes Cooking",VLOOKUP(K12,#REF!,24)*G12,IF(C12="NonRes Space Cooling",VLOOKUP(K12,#REF!,26)*G12,IF(C12="NonRes Exterior Lighting",VLOOKUP(K12,#REF!,28)*G12,IF(C12="NonRes Space Heating",VLOOKUP(K12,#REF!,30)*G12,IF(C12="NonRes Water Heating",VLOOKUP(K12,#REF!,32)*G12,IF(C12="NonRes Interior Lighting",VLOOKUP(K12,#REF!,34)*G12,IF(C12="NonRes Misc",VLOOKUP(K12,#REF!,36)*G12,IF(C12="NonRes Motors",VLOOKUP(K12,#REF!,38)*G12,IF(C12="NonRes Office Equipment",VLOOKUP(K12,#REF!,40)*G12,IF(C12="NonRes Process",VLOOKUP(K12,#REF!,42)*G12,IF(C12="NonRes Refrigeration",VLOOKUP(K12,#REF!,44)*G12,IF(C12="NonRes Ventilation",VLOOKUP(K12,#REF!,46)*G12,0))))))))))))))))))))))</f>
        <v>0</v>
      </c>
      <c r="U12" s="18">
        <f>IF(D12="Annual",VLOOKUP(K12,#REF!,4)*'3.4 - Open'!I12,IF(D12="Winter",VLOOKUP('3.4 - Open'!K12,#REF!,5)*'3.4 - Open'!I12,IF(D12="NA",0,0)))</f>
        <v>0</v>
      </c>
      <c r="V12" s="19" t="e">
        <f t="shared" si="0"/>
        <v>#DIV/0!</v>
      </c>
      <c r="W12" s="19" t="e">
        <f t="shared" si="1"/>
        <v>#DIV/0!</v>
      </c>
      <c r="X12" s="19" t="e">
        <f t="shared" si="2"/>
        <v>#DIV/0!</v>
      </c>
      <c r="Y12" s="19" t="e">
        <f t="shared" si="3"/>
        <v>#DIV/0!</v>
      </c>
      <c r="Z12" s="20" t="e">
        <f>(T12+U12+(PV(#REF!,'3.4 - Open'!K12,'3.4 - Open'!P12)*-1)+'3.4 - Open'!O12)/'3.4 - Open'!E12</f>
        <v>#REF!</v>
      </c>
      <c r="AA12" s="20" t="e">
        <f t="shared" si="13"/>
        <v>#DIV/0!</v>
      </c>
      <c r="AB12" s="21">
        <f t="shared" si="4"/>
        <v>0</v>
      </c>
      <c r="AC12" s="20">
        <f t="shared" si="5"/>
        <v>0</v>
      </c>
      <c r="AD12" s="20">
        <f t="shared" si="6"/>
        <v>0</v>
      </c>
      <c r="AE12" s="20">
        <f t="shared" si="7"/>
        <v>0</v>
      </c>
      <c r="AF12" s="19" t="e">
        <f t="shared" si="8"/>
        <v>#DIV/0!</v>
      </c>
      <c r="AG12" s="19" t="e">
        <f t="shared" si="9"/>
        <v>#DIV/0!</v>
      </c>
      <c r="AH12" s="19" t="e">
        <f t="shared" si="10"/>
        <v>#DIV/0!</v>
      </c>
      <c r="AI12" s="19" t="e">
        <f t="shared" si="11"/>
        <v>#DIV/0!</v>
      </c>
      <c r="AJ12" s="15">
        <f t="shared" si="14"/>
        <v>0</v>
      </c>
      <c r="AK12" s="19" t="e">
        <f t="shared" si="15"/>
        <v>#DIV/0!</v>
      </c>
      <c r="AL12" s="19" t="e">
        <f t="shared" si="16"/>
        <v>#DIV/0!</v>
      </c>
      <c r="AM12" s="19">
        <f t="shared" si="12"/>
        <v>0</v>
      </c>
      <c r="AN12" s="19" t="e">
        <f t="shared" si="17"/>
        <v>#DIV/0!</v>
      </c>
      <c r="AO12" s="19" t="e">
        <f t="shared" si="18"/>
        <v>#DIV/0!</v>
      </c>
      <c r="AP12" s="18" t="e">
        <f>-PV(#REF!,'3.4 - Open'!K12,'3.4 - Open'!P12)*'3.4 - Open'!B12</f>
        <v>#REF!</v>
      </c>
      <c r="AQ12" s="19" t="e">
        <f t="shared" si="19"/>
        <v>#REF!</v>
      </c>
      <c r="AR12" s="19" t="e">
        <f t="shared" si="20"/>
        <v>#REF!</v>
      </c>
      <c r="AS12" s="18" t="e">
        <f>B12*G12*K12*#REF!</f>
        <v>#REF!</v>
      </c>
      <c r="AT12" s="19" t="e">
        <f>B12*I12*K12*#REF!</f>
        <v>#REF!</v>
      </c>
      <c r="AU12" s="24"/>
      <c r="AV12" s="24"/>
      <c r="AW12" s="24"/>
      <c r="AX12" s="24"/>
      <c r="AY12" s="24"/>
      <c r="BK12" s="22" t="s">
        <v>12</v>
      </c>
    </row>
    <row r="13" spans="1:63" x14ac:dyDescent="0.25">
      <c r="A13" s="86"/>
      <c r="B13" s="86"/>
      <c r="C13" s="86"/>
      <c r="D13" s="86"/>
      <c r="E13" s="87"/>
      <c r="F13" s="87"/>
      <c r="G13" s="86"/>
      <c r="H13" s="86"/>
      <c r="I13" s="86"/>
      <c r="J13" s="86"/>
      <c r="K13" s="86"/>
      <c r="L13" s="86"/>
      <c r="M13" s="87"/>
      <c r="N13" s="87"/>
      <c r="O13" s="87"/>
      <c r="P13" s="87"/>
      <c r="Q13" s="87"/>
      <c r="R13" s="87"/>
      <c r="S13" s="87"/>
      <c r="T13" s="18">
        <f>IF(C13="Res Space Heat",VLOOKUP(K13,#REF!,4)*G13,IF(C13="Res AC",VLOOKUP(K13,#REF!,6)*G13,IF(C13="Res Lighting",VLOOKUP(K13,#REF!,8)*G13,IF(C13="Res Refrigeration",VLOOKUP(K13,#REF!,10)*G13,IF(C13="Res Water Heating",VLOOKUP(K13,#REF!,12)*G13,IF(C13="Res Dishwasher",VLOOKUP(K13,#REF!,14)*G13,IF(C13="Res Washer Dryer",VLOOKUP(K13,#REF!,16)*G13,IF(C13="Res Misc",VLOOKUP(K13,#REF!,18)*G13,IF(C13="Res Furnace Fan",VLOOKUP(K13,#REF!,20)*G13,IF(C13="NonRes Compressed Air",VLOOKUP(K13,#REF!,22)*G13,IF(C13="NonRes Cooking",VLOOKUP(K13,#REF!,24)*G13,IF(C13="NonRes Space Cooling",VLOOKUP(K13,#REF!,26)*G13,IF(C13="NonRes Exterior Lighting",VLOOKUP(K13,#REF!,28)*G13,IF(C13="NonRes Space Heating",VLOOKUP(K13,#REF!,30)*G13,IF(C13="NonRes Water Heating",VLOOKUP(K13,#REF!,32)*G13,IF(C13="NonRes Interior Lighting",VLOOKUP(K13,#REF!,34)*G13,IF(C13="NonRes Misc",VLOOKUP(K13,#REF!,36)*G13,IF(C13="NonRes Motors",VLOOKUP(K13,#REF!,38)*G13,IF(C13="NonRes Office Equipment",VLOOKUP(K13,#REF!,40)*G13,IF(C13="NonRes Process",VLOOKUP(K13,#REF!,42)*G13,IF(C13="NonRes Refrigeration",VLOOKUP(K13,#REF!,44)*G13,IF(C13="NonRes Ventilation",VLOOKUP(K13,#REF!,46)*G13,0))))))))))))))))))))))</f>
        <v>0</v>
      </c>
      <c r="U13" s="18">
        <f>IF(D13="Annual",VLOOKUP(K13,#REF!,4)*'3.4 - Open'!I13,IF(D13="Winter",VLOOKUP('3.4 - Open'!K13,#REF!,5)*'3.4 - Open'!I13,IF(D13="NA",0,0)))</f>
        <v>0</v>
      </c>
      <c r="V13" s="19" t="e">
        <f t="shared" si="0"/>
        <v>#DIV/0!</v>
      </c>
      <c r="W13" s="19" t="e">
        <f t="shared" si="1"/>
        <v>#DIV/0!</v>
      </c>
      <c r="X13" s="19" t="e">
        <f t="shared" si="2"/>
        <v>#DIV/0!</v>
      </c>
      <c r="Y13" s="19" t="e">
        <f t="shared" si="3"/>
        <v>#DIV/0!</v>
      </c>
      <c r="Z13" s="20" t="e">
        <f>(T13+U13+(PV(#REF!,'3.4 - Open'!K13,'3.4 - Open'!P13)*-1)+'3.4 - Open'!O13)/'3.4 - Open'!E13</f>
        <v>#REF!</v>
      </c>
      <c r="AA13" s="20" t="e">
        <f t="shared" si="13"/>
        <v>#DIV/0!</v>
      </c>
      <c r="AB13" s="21">
        <f t="shared" si="4"/>
        <v>0</v>
      </c>
      <c r="AC13" s="20">
        <f t="shared" si="5"/>
        <v>0</v>
      </c>
      <c r="AD13" s="20">
        <f t="shared" si="6"/>
        <v>0</v>
      </c>
      <c r="AE13" s="20">
        <f t="shared" si="7"/>
        <v>0</v>
      </c>
      <c r="AF13" s="19" t="e">
        <f t="shared" si="8"/>
        <v>#DIV/0!</v>
      </c>
      <c r="AG13" s="19" t="e">
        <f t="shared" si="9"/>
        <v>#DIV/0!</v>
      </c>
      <c r="AH13" s="19" t="e">
        <f t="shared" si="10"/>
        <v>#DIV/0!</v>
      </c>
      <c r="AI13" s="19" t="e">
        <f t="shared" si="11"/>
        <v>#DIV/0!</v>
      </c>
      <c r="AJ13" s="15">
        <f t="shared" si="14"/>
        <v>0</v>
      </c>
      <c r="AK13" s="19" t="e">
        <f t="shared" si="15"/>
        <v>#DIV/0!</v>
      </c>
      <c r="AL13" s="19" t="e">
        <f t="shared" si="16"/>
        <v>#DIV/0!</v>
      </c>
      <c r="AM13" s="19">
        <f t="shared" si="12"/>
        <v>0</v>
      </c>
      <c r="AN13" s="19" t="e">
        <f t="shared" si="17"/>
        <v>#DIV/0!</v>
      </c>
      <c r="AO13" s="19" t="e">
        <f t="shared" si="18"/>
        <v>#DIV/0!</v>
      </c>
      <c r="AP13" s="18" t="e">
        <f>-PV(#REF!,'3.4 - Open'!K13,'3.4 - Open'!P13)*'3.4 - Open'!B13</f>
        <v>#REF!</v>
      </c>
      <c r="AQ13" s="19" t="e">
        <f t="shared" si="19"/>
        <v>#REF!</v>
      </c>
      <c r="AR13" s="19" t="e">
        <f t="shared" si="20"/>
        <v>#REF!</v>
      </c>
      <c r="AS13" s="18" t="e">
        <f>B13*G13*K13*#REF!</f>
        <v>#REF!</v>
      </c>
      <c r="AT13" s="19" t="e">
        <f>B13*I13*K13*#REF!</f>
        <v>#REF!</v>
      </c>
      <c r="AU13" s="24"/>
      <c r="AV13" s="24"/>
      <c r="AW13" s="24"/>
      <c r="AX13" s="24"/>
      <c r="AY13" s="24"/>
      <c r="BK13" s="22" t="s">
        <v>13</v>
      </c>
    </row>
    <row r="14" spans="1:63" x14ac:dyDescent="0.25">
      <c r="A14" s="86"/>
      <c r="B14" s="86"/>
      <c r="C14" s="86"/>
      <c r="D14" s="86"/>
      <c r="E14" s="87"/>
      <c r="F14" s="87"/>
      <c r="G14" s="86"/>
      <c r="H14" s="86"/>
      <c r="I14" s="86"/>
      <c r="J14" s="86"/>
      <c r="K14" s="86"/>
      <c r="L14" s="86"/>
      <c r="M14" s="87"/>
      <c r="N14" s="87"/>
      <c r="O14" s="87"/>
      <c r="P14" s="87"/>
      <c r="Q14" s="87"/>
      <c r="R14" s="87"/>
      <c r="S14" s="87"/>
      <c r="T14" s="18">
        <f>IF(C14="Res Space Heat",VLOOKUP(K14,#REF!,4)*G14,IF(C14="Res AC",VLOOKUP(K14,#REF!,6)*G14,IF(C14="Res Lighting",VLOOKUP(K14,#REF!,8)*G14,IF(C14="Res Refrigeration",VLOOKUP(K14,#REF!,10)*G14,IF(C14="Res Water Heating",VLOOKUP(K14,#REF!,12)*G14,IF(C14="Res Dishwasher",VLOOKUP(K14,#REF!,14)*G14,IF(C14="Res Washer Dryer",VLOOKUP(K14,#REF!,16)*G14,IF(C14="Res Misc",VLOOKUP(K14,#REF!,18)*G14,IF(C14="Res Furnace Fan",VLOOKUP(K14,#REF!,20)*G14,IF(C14="NonRes Compressed Air",VLOOKUP(K14,#REF!,22)*G14,IF(C14="NonRes Cooking",VLOOKUP(K14,#REF!,24)*G14,IF(C14="NonRes Space Cooling",VLOOKUP(K14,#REF!,26)*G14,IF(C14="NonRes Exterior Lighting",VLOOKUP(K14,#REF!,28)*G14,IF(C14="NonRes Space Heating",VLOOKUP(K14,#REF!,30)*G14,IF(C14="NonRes Water Heating",VLOOKUP(K14,#REF!,32)*G14,IF(C14="NonRes Interior Lighting",VLOOKUP(K14,#REF!,34)*G14,IF(C14="NonRes Misc",VLOOKUP(K14,#REF!,36)*G14,IF(C14="NonRes Motors",VLOOKUP(K14,#REF!,38)*G14,IF(C14="NonRes Office Equipment",VLOOKUP(K14,#REF!,40)*G14,IF(C14="NonRes Process",VLOOKUP(K14,#REF!,42)*G14,IF(C14="NonRes Refrigeration",VLOOKUP(K14,#REF!,44)*G14,IF(C14="NonRes Ventilation",VLOOKUP(K14,#REF!,46)*G14,0))))))))))))))))))))))</f>
        <v>0</v>
      </c>
      <c r="U14" s="18">
        <f>IF(D14="Annual",VLOOKUP(K14,#REF!,4)*'3.4 - Open'!I14,IF(D14="Winter",VLOOKUP('3.4 - Open'!K14,#REF!,5)*'3.4 - Open'!I14,IF(D14="NA",0,0)))</f>
        <v>0</v>
      </c>
      <c r="V14" s="19" t="e">
        <f t="shared" si="0"/>
        <v>#DIV/0!</v>
      </c>
      <c r="W14" s="19" t="e">
        <f t="shared" si="1"/>
        <v>#DIV/0!</v>
      </c>
      <c r="X14" s="19" t="e">
        <f t="shared" si="2"/>
        <v>#DIV/0!</v>
      </c>
      <c r="Y14" s="19" t="e">
        <f t="shared" si="3"/>
        <v>#DIV/0!</v>
      </c>
      <c r="Z14" s="20" t="e">
        <f>(T14+U14+(PV(#REF!,'3.4 - Open'!K14,'3.4 - Open'!P14)*-1)+'3.4 - Open'!O14)/'3.4 - Open'!E14</f>
        <v>#REF!</v>
      </c>
      <c r="AA14" s="20" t="e">
        <f t="shared" si="13"/>
        <v>#DIV/0!</v>
      </c>
      <c r="AB14" s="21">
        <f t="shared" si="4"/>
        <v>0</v>
      </c>
      <c r="AC14" s="20">
        <f t="shared" si="5"/>
        <v>0</v>
      </c>
      <c r="AD14" s="20">
        <f t="shared" si="6"/>
        <v>0</v>
      </c>
      <c r="AE14" s="20">
        <f t="shared" si="7"/>
        <v>0</v>
      </c>
      <c r="AF14" s="19" t="e">
        <f t="shared" si="8"/>
        <v>#DIV/0!</v>
      </c>
      <c r="AG14" s="19" t="e">
        <f t="shared" si="9"/>
        <v>#DIV/0!</v>
      </c>
      <c r="AH14" s="19" t="e">
        <f t="shared" si="10"/>
        <v>#DIV/0!</v>
      </c>
      <c r="AI14" s="19" t="e">
        <f t="shared" si="11"/>
        <v>#DIV/0!</v>
      </c>
      <c r="AJ14" s="15">
        <f t="shared" si="14"/>
        <v>0</v>
      </c>
      <c r="AK14" s="19" t="e">
        <f t="shared" si="15"/>
        <v>#DIV/0!</v>
      </c>
      <c r="AL14" s="19" t="e">
        <f t="shared" si="16"/>
        <v>#DIV/0!</v>
      </c>
      <c r="AM14" s="19">
        <f t="shared" si="12"/>
        <v>0</v>
      </c>
      <c r="AN14" s="19" t="e">
        <f t="shared" si="17"/>
        <v>#DIV/0!</v>
      </c>
      <c r="AO14" s="19" t="e">
        <f t="shared" si="18"/>
        <v>#DIV/0!</v>
      </c>
      <c r="AP14" s="18" t="e">
        <f>-PV(#REF!,'3.4 - Open'!K14,'3.4 - Open'!P14)*'3.4 - Open'!B14</f>
        <v>#REF!</v>
      </c>
      <c r="AQ14" s="19" t="e">
        <f t="shared" si="19"/>
        <v>#REF!</v>
      </c>
      <c r="AR14" s="19" t="e">
        <f t="shared" si="20"/>
        <v>#REF!</v>
      </c>
      <c r="AS14" s="18" t="e">
        <f>B14*G14*K14*#REF!</f>
        <v>#REF!</v>
      </c>
      <c r="AT14" s="19" t="e">
        <f>B14*I14*K14*#REF!</f>
        <v>#REF!</v>
      </c>
      <c r="AU14" s="24"/>
      <c r="AV14" s="24"/>
      <c r="AW14" s="24"/>
      <c r="AX14" s="24"/>
      <c r="AY14" s="24"/>
      <c r="BK14" s="22" t="s">
        <v>14</v>
      </c>
    </row>
    <row r="15" spans="1:63" x14ac:dyDescent="0.25">
      <c r="A15" s="86"/>
      <c r="B15" s="86"/>
      <c r="C15" s="86"/>
      <c r="D15" s="86"/>
      <c r="E15" s="87"/>
      <c r="F15" s="87"/>
      <c r="G15" s="86"/>
      <c r="H15" s="86"/>
      <c r="I15" s="86"/>
      <c r="J15" s="86"/>
      <c r="K15" s="86"/>
      <c r="L15" s="86"/>
      <c r="M15" s="87"/>
      <c r="N15" s="87"/>
      <c r="O15" s="87"/>
      <c r="P15" s="87"/>
      <c r="Q15" s="87"/>
      <c r="R15" s="87"/>
      <c r="S15" s="87"/>
      <c r="T15" s="18">
        <f>IF(C15="Res Space Heat",VLOOKUP(K15,#REF!,4)*G15,IF(C15="Res AC",VLOOKUP(K15,#REF!,6)*G15,IF(C15="Res Lighting",VLOOKUP(K15,#REF!,8)*G15,IF(C15="Res Refrigeration",VLOOKUP(K15,#REF!,10)*G15,IF(C15="Res Water Heating",VLOOKUP(K15,#REF!,12)*G15,IF(C15="Res Dishwasher",VLOOKUP(K15,#REF!,14)*G15,IF(C15="Res Washer Dryer",VLOOKUP(K15,#REF!,16)*G15,IF(C15="Res Misc",VLOOKUP(K15,#REF!,18)*G15,IF(C15="Res Furnace Fan",VLOOKUP(K15,#REF!,20)*G15,IF(C15="NonRes Compressed Air",VLOOKUP(K15,#REF!,22)*G15,IF(C15="NonRes Cooking",VLOOKUP(K15,#REF!,24)*G15,IF(C15="NonRes Space Cooling",VLOOKUP(K15,#REF!,26)*G15,IF(C15="NonRes Exterior Lighting",VLOOKUP(K15,#REF!,28)*G15,IF(C15="NonRes Space Heating",VLOOKUP(K15,#REF!,30)*G15,IF(C15="NonRes Water Heating",VLOOKUP(K15,#REF!,32)*G15,IF(C15="NonRes Interior Lighting",VLOOKUP(K15,#REF!,34)*G15,IF(C15="NonRes Misc",VLOOKUP(K15,#REF!,36)*G15,IF(C15="NonRes Motors",VLOOKUP(K15,#REF!,38)*G15,IF(C15="NonRes Office Equipment",VLOOKUP(K15,#REF!,40)*G15,IF(C15="NonRes Process",VLOOKUP(K15,#REF!,42)*G15,IF(C15="NonRes Refrigeration",VLOOKUP(K15,#REF!,44)*G15,IF(C15="NonRes Ventilation",VLOOKUP(K15,#REF!,46)*G15,0))))))))))))))))))))))</f>
        <v>0</v>
      </c>
      <c r="U15" s="18">
        <f>IF(D15="Annual",VLOOKUP(K15,#REF!,4)*'3.4 - Open'!I15,IF(D15="Winter",VLOOKUP('3.4 - Open'!K15,#REF!,5)*'3.4 - Open'!I15,IF(D15="NA",0,0)))</f>
        <v>0</v>
      </c>
      <c r="V15" s="19" t="e">
        <f t="shared" si="0"/>
        <v>#DIV/0!</v>
      </c>
      <c r="W15" s="19" t="e">
        <f t="shared" si="1"/>
        <v>#DIV/0!</v>
      </c>
      <c r="X15" s="19" t="e">
        <f t="shared" si="2"/>
        <v>#DIV/0!</v>
      </c>
      <c r="Y15" s="19" t="e">
        <f t="shared" si="3"/>
        <v>#DIV/0!</v>
      </c>
      <c r="Z15" s="20" t="e">
        <f>(T15+U15+(PV(#REF!,'3.4 - Open'!K15,'3.4 - Open'!P15)*-1)+'3.4 - Open'!O15)/'3.4 - Open'!E15</f>
        <v>#REF!</v>
      </c>
      <c r="AA15" s="20" t="e">
        <f t="shared" si="13"/>
        <v>#DIV/0!</v>
      </c>
      <c r="AB15" s="21">
        <f t="shared" si="4"/>
        <v>0</v>
      </c>
      <c r="AC15" s="20">
        <f t="shared" si="5"/>
        <v>0</v>
      </c>
      <c r="AD15" s="20">
        <f t="shared" si="6"/>
        <v>0</v>
      </c>
      <c r="AE15" s="20">
        <f t="shared" si="7"/>
        <v>0</v>
      </c>
      <c r="AF15" s="19" t="e">
        <f t="shared" si="8"/>
        <v>#DIV/0!</v>
      </c>
      <c r="AG15" s="19" t="e">
        <f t="shared" si="9"/>
        <v>#DIV/0!</v>
      </c>
      <c r="AH15" s="19" t="e">
        <f t="shared" si="10"/>
        <v>#DIV/0!</v>
      </c>
      <c r="AI15" s="19" t="e">
        <f t="shared" si="11"/>
        <v>#DIV/0!</v>
      </c>
      <c r="AJ15" s="15">
        <f t="shared" si="14"/>
        <v>0</v>
      </c>
      <c r="AK15" s="19" t="e">
        <f t="shared" si="15"/>
        <v>#DIV/0!</v>
      </c>
      <c r="AL15" s="19" t="e">
        <f t="shared" si="16"/>
        <v>#DIV/0!</v>
      </c>
      <c r="AM15" s="19">
        <f t="shared" si="12"/>
        <v>0</v>
      </c>
      <c r="AN15" s="19" t="e">
        <f t="shared" si="17"/>
        <v>#DIV/0!</v>
      </c>
      <c r="AO15" s="19" t="e">
        <f t="shared" si="18"/>
        <v>#DIV/0!</v>
      </c>
      <c r="AP15" s="18" t="e">
        <f>-PV(#REF!,'3.4 - Open'!K15,'3.4 - Open'!P15)*'3.4 - Open'!B15</f>
        <v>#REF!</v>
      </c>
      <c r="AQ15" s="19" t="e">
        <f t="shared" si="19"/>
        <v>#REF!</v>
      </c>
      <c r="AR15" s="19" t="e">
        <f t="shared" si="20"/>
        <v>#REF!</v>
      </c>
      <c r="AS15" s="18" t="e">
        <f>B15*G15*K15*#REF!</f>
        <v>#REF!</v>
      </c>
      <c r="AT15" s="19" t="e">
        <f>B15*I15*K15*#REF!</f>
        <v>#REF!</v>
      </c>
      <c r="AU15" s="24"/>
      <c r="AV15" s="24"/>
      <c r="AW15" s="24"/>
      <c r="AX15" s="24"/>
      <c r="AY15" s="24"/>
      <c r="BK15" s="22" t="s">
        <v>15</v>
      </c>
    </row>
    <row r="16" spans="1:63" x14ac:dyDescent="0.25">
      <c r="A16" s="86"/>
      <c r="B16" s="86"/>
      <c r="C16" s="86"/>
      <c r="D16" s="86"/>
      <c r="E16" s="87"/>
      <c r="F16" s="87"/>
      <c r="G16" s="86"/>
      <c r="H16" s="86"/>
      <c r="I16" s="86"/>
      <c r="J16" s="86"/>
      <c r="K16" s="86"/>
      <c r="L16" s="86"/>
      <c r="M16" s="87"/>
      <c r="N16" s="87"/>
      <c r="O16" s="87"/>
      <c r="P16" s="87"/>
      <c r="Q16" s="87"/>
      <c r="R16" s="87"/>
      <c r="S16" s="87"/>
      <c r="T16" s="18">
        <f>IF(C16="Res Space Heat",VLOOKUP(K16,#REF!,4)*G16,IF(C16="Res AC",VLOOKUP(K16,#REF!,6)*G16,IF(C16="Res Lighting",VLOOKUP(K16,#REF!,8)*G16,IF(C16="Res Refrigeration",VLOOKUP(K16,#REF!,10)*G16,IF(C16="Res Water Heating",VLOOKUP(K16,#REF!,12)*G16,IF(C16="Res Dishwasher",VLOOKUP(K16,#REF!,14)*G16,IF(C16="Res Washer Dryer",VLOOKUP(K16,#REF!,16)*G16,IF(C16="Res Misc",VLOOKUP(K16,#REF!,18)*G16,IF(C16="Res Furnace Fan",VLOOKUP(K16,#REF!,20)*G16,IF(C16="NonRes Compressed Air",VLOOKUP(K16,#REF!,22)*G16,IF(C16="NonRes Cooking",VLOOKUP(K16,#REF!,24)*G16,IF(C16="NonRes Space Cooling",VLOOKUP(K16,#REF!,26)*G16,IF(C16="NonRes Exterior Lighting",VLOOKUP(K16,#REF!,28)*G16,IF(C16="NonRes Space Heating",VLOOKUP(K16,#REF!,30)*G16,IF(C16="NonRes Water Heating",VLOOKUP(K16,#REF!,32)*G16,IF(C16="NonRes Interior Lighting",VLOOKUP(K16,#REF!,34)*G16,IF(C16="NonRes Misc",VLOOKUP(K16,#REF!,36)*G16,IF(C16="NonRes Motors",VLOOKUP(K16,#REF!,38)*G16,IF(C16="NonRes Office Equipment",VLOOKUP(K16,#REF!,40)*G16,IF(C16="NonRes Process",VLOOKUP(K16,#REF!,42)*G16,IF(C16="NonRes Refrigeration",VLOOKUP(K16,#REF!,44)*G16,IF(C16="NonRes Ventilation",VLOOKUP(K16,#REF!,46)*G16,0))))))))))))))))))))))</f>
        <v>0</v>
      </c>
      <c r="U16" s="18">
        <f>IF(D16="Annual",VLOOKUP(K16,#REF!,4)*'3.4 - Open'!I16,IF(D16="Winter",VLOOKUP('3.4 - Open'!K16,#REF!,5)*'3.4 - Open'!I16,IF(D16="NA",0,0)))</f>
        <v>0</v>
      </c>
      <c r="V16" s="19" t="e">
        <f t="shared" si="0"/>
        <v>#DIV/0!</v>
      </c>
      <c r="W16" s="19" t="e">
        <f t="shared" si="1"/>
        <v>#DIV/0!</v>
      </c>
      <c r="X16" s="19" t="e">
        <f t="shared" si="2"/>
        <v>#DIV/0!</v>
      </c>
      <c r="Y16" s="19" t="e">
        <f t="shared" si="3"/>
        <v>#DIV/0!</v>
      </c>
      <c r="Z16" s="20" t="e">
        <f>(T16+U16+(PV(#REF!,'3.4 - Open'!K16,'3.4 - Open'!P16)*-1)+'3.4 - Open'!O16)/'3.4 - Open'!E16</f>
        <v>#REF!</v>
      </c>
      <c r="AA16" s="20" t="e">
        <f t="shared" si="13"/>
        <v>#DIV/0!</v>
      </c>
      <c r="AB16" s="21">
        <f t="shared" si="4"/>
        <v>0</v>
      </c>
      <c r="AC16" s="20">
        <f t="shared" si="5"/>
        <v>0</v>
      </c>
      <c r="AD16" s="20">
        <f t="shared" si="6"/>
        <v>0</v>
      </c>
      <c r="AE16" s="20">
        <f t="shared" si="7"/>
        <v>0</v>
      </c>
      <c r="AF16" s="19" t="e">
        <f t="shared" si="8"/>
        <v>#DIV/0!</v>
      </c>
      <c r="AG16" s="19" t="e">
        <f t="shared" si="9"/>
        <v>#DIV/0!</v>
      </c>
      <c r="AH16" s="19" t="e">
        <f t="shared" si="10"/>
        <v>#DIV/0!</v>
      </c>
      <c r="AI16" s="19" t="e">
        <f t="shared" si="11"/>
        <v>#DIV/0!</v>
      </c>
      <c r="AJ16" s="15">
        <f t="shared" si="14"/>
        <v>0</v>
      </c>
      <c r="AK16" s="19" t="e">
        <f t="shared" si="15"/>
        <v>#DIV/0!</v>
      </c>
      <c r="AL16" s="19" t="e">
        <f t="shared" si="16"/>
        <v>#DIV/0!</v>
      </c>
      <c r="AM16" s="19">
        <f t="shared" si="12"/>
        <v>0</v>
      </c>
      <c r="AN16" s="19" t="e">
        <f t="shared" si="17"/>
        <v>#DIV/0!</v>
      </c>
      <c r="AO16" s="19" t="e">
        <f t="shared" si="18"/>
        <v>#DIV/0!</v>
      </c>
      <c r="AP16" s="18" t="e">
        <f>-PV(#REF!,'3.4 - Open'!K16,'3.4 - Open'!P16)*'3.4 - Open'!B16</f>
        <v>#REF!</v>
      </c>
      <c r="AQ16" s="19" t="e">
        <f t="shared" si="19"/>
        <v>#REF!</v>
      </c>
      <c r="AR16" s="19" t="e">
        <f t="shared" si="20"/>
        <v>#REF!</v>
      </c>
      <c r="AS16" s="18" t="e">
        <f>B16*G16*K16*#REF!</f>
        <v>#REF!</v>
      </c>
      <c r="AT16" s="19" t="e">
        <f>B16*I16*K16*#REF!</f>
        <v>#REF!</v>
      </c>
      <c r="AU16" s="24"/>
      <c r="AV16" s="24"/>
      <c r="AW16" s="24"/>
      <c r="AX16" s="24"/>
      <c r="AY16" s="24"/>
      <c r="BK16" s="22" t="s">
        <v>16</v>
      </c>
    </row>
    <row r="17" spans="1:63" x14ac:dyDescent="0.25">
      <c r="A17" s="86"/>
      <c r="B17" s="86"/>
      <c r="C17" s="86"/>
      <c r="D17" s="86"/>
      <c r="E17" s="87"/>
      <c r="F17" s="87"/>
      <c r="G17" s="86"/>
      <c r="H17" s="86"/>
      <c r="I17" s="86"/>
      <c r="J17" s="86"/>
      <c r="K17" s="86"/>
      <c r="L17" s="86"/>
      <c r="M17" s="87"/>
      <c r="N17" s="87"/>
      <c r="O17" s="87"/>
      <c r="P17" s="87"/>
      <c r="Q17" s="87"/>
      <c r="R17" s="87"/>
      <c r="S17" s="87"/>
      <c r="T17" s="18">
        <f>IF(C17="Res Space Heat",VLOOKUP(K17,#REF!,4)*G17,IF(C17="Res AC",VLOOKUP(K17,#REF!,6)*G17,IF(C17="Res Lighting",VLOOKUP(K17,#REF!,8)*G17,IF(C17="Res Refrigeration",VLOOKUP(K17,#REF!,10)*G17,IF(C17="Res Water Heating",VLOOKUP(K17,#REF!,12)*G17,IF(C17="Res Dishwasher",VLOOKUP(K17,#REF!,14)*G17,IF(C17="Res Washer Dryer",VLOOKUP(K17,#REF!,16)*G17,IF(C17="Res Misc",VLOOKUP(K17,#REF!,18)*G17,IF(C17="Res Furnace Fan",VLOOKUP(K17,#REF!,20)*G17,IF(C17="NonRes Compressed Air",VLOOKUP(K17,#REF!,22)*G17,IF(C17="NonRes Cooking",VLOOKUP(K17,#REF!,24)*G17,IF(C17="NonRes Space Cooling",VLOOKUP(K17,#REF!,26)*G17,IF(C17="NonRes Exterior Lighting",VLOOKUP(K17,#REF!,28)*G17,IF(C17="NonRes Space Heating",VLOOKUP(K17,#REF!,30)*G17,IF(C17="NonRes Water Heating",VLOOKUP(K17,#REF!,32)*G17,IF(C17="NonRes Interior Lighting",VLOOKUP(K17,#REF!,34)*G17,IF(C17="NonRes Misc",VLOOKUP(K17,#REF!,36)*G17,IF(C17="NonRes Motors",VLOOKUP(K17,#REF!,38)*G17,IF(C17="NonRes Office Equipment",VLOOKUP(K17,#REF!,40)*G17,IF(C17="NonRes Process",VLOOKUP(K17,#REF!,42)*G17,IF(C17="NonRes Refrigeration",VLOOKUP(K17,#REF!,44)*G17,IF(C17="NonRes Ventilation",VLOOKUP(K17,#REF!,46)*G17,0))))))))))))))))))))))</f>
        <v>0</v>
      </c>
      <c r="U17" s="18">
        <f>IF(D17="Annual",VLOOKUP(K17,#REF!,4)*'3.4 - Open'!I17,IF(D17="Winter",VLOOKUP('3.4 - Open'!K17,#REF!,5)*'3.4 - Open'!I17,IF(D17="NA",0,0)))</f>
        <v>0</v>
      </c>
      <c r="V17" s="19" t="e">
        <f t="shared" si="0"/>
        <v>#DIV/0!</v>
      </c>
      <c r="W17" s="19" t="e">
        <f t="shared" si="1"/>
        <v>#DIV/0!</v>
      </c>
      <c r="X17" s="19" t="e">
        <f t="shared" si="2"/>
        <v>#DIV/0!</v>
      </c>
      <c r="Y17" s="19" t="e">
        <f t="shared" si="3"/>
        <v>#DIV/0!</v>
      </c>
      <c r="Z17" s="20" t="e">
        <f>(T17+U17+(PV(#REF!,'3.4 - Open'!K17,'3.4 - Open'!P17)*-1)+'3.4 - Open'!O17)/'3.4 - Open'!E17</f>
        <v>#REF!</v>
      </c>
      <c r="AA17" s="20" t="e">
        <f t="shared" si="13"/>
        <v>#DIV/0!</v>
      </c>
      <c r="AB17" s="21">
        <f t="shared" si="4"/>
        <v>0</v>
      </c>
      <c r="AC17" s="20">
        <f t="shared" si="5"/>
        <v>0</v>
      </c>
      <c r="AD17" s="20">
        <f t="shared" si="6"/>
        <v>0</v>
      </c>
      <c r="AE17" s="20">
        <f t="shared" si="7"/>
        <v>0</v>
      </c>
      <c r="AF17" s="19" t="e">
        <f t="shared" si="8"/>
        <v>#DIV/0!</v>
      </c>
      <c r="AG17" s="19" t="e">
        <f t="shared" si="9"/>
        <v>#DIV/0!</v>
      </c>
      <c r="AH17" s="19" t="e">
        <f t="shared" si="10"/>
        <v>#DIV/0!</v>
      </c>
      <c r="AI17" s="19" t="e">
        <f t="shared" si="11"/>
        <v>#DIV/0!</v>
      </c>
      <c r="AJ17" s="15">
        <f t="shared" si="14"/>
        <v>0</v>
      </c>
      <c r="AK17" s="19" t="e">
        <f t="shared" si="15"/>
        <v>#DIV/0!</v>
      </c>
      <c r="AL17" s="19" t="e">
        <f t="shared" si="16"/>
        <v>#DIV/0!</v>
      </c>
      <c r="AM17" s="19">
        <f t="shared" si="12"/>
        <v>0</v>
      </c>
      <c r="AN17" s="19" t="e">
        <f t="shared" si="17"/>
        <v>#DIV/0!</v>
      </c>
      <c r="AO17" s="19" t="e">
        <f t="shared" si="18"/>
        <v>#DIV/0!</v>
      </c>
      <c r="AP17" s="18" t="e">
        <f>-PV(#REF!,'3.4 - Open'!K17,'3.4 - Open'!P17)*'3.4 - Open'!B17</f>
        <v>#REF!</v>
      </c>
      <c r="AQ17" s="19" t="e">
        <f t="shared" si="19"/>
        <v>#REF!</v>
      </c>
      <c r="AR17" s="19" t="e">
        <f t="shared" si="20"/>
        <v>#REF!</v>
      </c>
      <c r="AS17" s="18" t="e">
        <f>B17*G17*K17*#REF!</f>
        <v>#REF!</v>
      </c>
      <c r="AT17" s="19" t="e">
        <f>B17*I17*K17*#REF!</f>
        <v>#REF!</v>
      </c>
      <c r="AU17" s="24"/>
      <c r="AV17" s="24"/>
      <c r="AW17" s="24"/>
      <c r="AX17" s="24"/>
      <c r="AY17" s="24"/>
      <c r="BK17" s="22" t="s">
        <v>17</v>
      </c>
    </row>
    <row r="18" spans="1:63" x14ac:dyDescent="0.25">
      <c r="A18" s="86"/>
      <c r="B18" s="86"/>
      <c r="C18" s="86"/>
      <c r="D18" s="86"/>
      <c r="E18" s="87"/>
      <c r="F18" s="87"/>
      <c r="G18" s="86"/>
      <c r="H18" s="86"/>
      <c r="I18" s="86"/>
      <c r="J18" s="86"/>
      <c r="K18" s="86"/>
      <c r="L18" s="86"/>
      <c r="M18" s="87"/>
      <c r="N18" s="87"/>
      <c r="O18" s="87"/>
      <c r="P18" s="87"/>
      <c r="Q18" s="87"/>
      <c r="R18" s="87"/>
      <c r="S18" s="87"/>
      <c r="T18" s="18">
        <f>IF(C18="Res Space Heat",VLOOKUP(K18,#REF!,4)*G18,IF(C18="Res AC",VLOOKUP(K18,#REF!,6)*G18,IF(C18="Res Lighting",VLOOKUP(K18,#REF!,8)*G18,IF(C18="Res Refrigeration",VLOOKUP(K18,#REF!,10)*G18,IF(C18="Res Water Heating",VLOOKUP(K18,#REF!,12)*G18,IF(C18="Res Dishwasher",VLOOKUP(K18,#REF!,14)*G18,IF(C18="Res Washer Dryer",VLOOKUP(K18,#REF!,16)*G18,IF(C18="Res Misc",VLOOKUP(K18,#REF!,18)*G18,IF(C18="Res Furnace Fan",VLOOKUP(K18,#REF!,20)*G18,IF(C18="NonRes Compressed Air",VLOOKUP(K18,#REF!,22)*G18,IF(C18="NonRes Cooking",VLOOKUP(K18,#REF!,24)*G18,IF(C18="NonRes Space Cooling",VLOOKUP(K18,#REF!,26)*G18,IF(C18="NonRes Exterior Lighting",VLOOKUP(K18,#REF!,28)*G18,IF(C18="NonRes Space Heating",VLOOKUP(K18,#REF!,30)*G18,IF(C18="NonRes Water Heating",VLOOKUP(K18,#REF!,32)*G18,IF(C18="NonRes Interior Lighting",VLOOKUP(K18,#REF!,34)*G18,IF(C18="NonRes Misc",VLOOKUP(K18,#REF!,36)*G18,IF(C18="NonRes Motors",VLOOKUP(K18,#REF!,38)*G18,IF(C18="NonRes Office Equipment",VLOOKUP(K18,#REF!,40)*G18,IF(C18="NonRes Process",VLOOKUP(K18,#REF!,42)*G18,IF(C18="NonRes Refrigeration",VLOOKUP(K18,#REF!,44)*G18,IF(C18="NonRes Ventilation",VLOOKUP(K18,#REF!,46)*G18,0))))))))))))))))))))))</f>
        <v>0</v>
      </c>
      <c r="U18" s="18">
        <f>IF(D18="Annual",VLOOKUP(K18,#REF!,4)*'3.4 - Open'!I18,IF(D18="Winter",VLOOKUP('3.4 - Open'!K18,#REF!,5)*'3.4 - Open'!I18,IF(D18="NA",0,0)))</f>
        <v>0</v>
      </c>
      <c r="V18" s="19" t="e">
        <f t="shared" si="0"/>
        <v>#DIV/0!</v>
      </c>
      <c r="W18" s="19" t="e">
        <f t="shared" si="1"/>
        <v>#DIV/0!</v>
      </c>
      <c r="X18" s="19" t="e">
        <f t="shared" si="2"/>
        <v>#DIV/0!</v>
      </c>
      <c r="Y18" s="19" t="e">
        <f t="shared" si="3"/>
        <v>#DIV/0!</v>
      </c>
      <c r="Z18" s="20" t="e">
        <f>(T18+U18+(PV(#REF!,'3.4 - Open'!K18,'3.4 - Open'!P18)*-1)+'3.4 - Open'!O18)/'3.4 - Open'!E18</f>
        <v>#REF!</v>
      </c>
      <c r="AA18" s="20" t="e">
        <f t="shared" si="13"/>
        <v>#DIV/0!</v>
      </c>
      <c r="AB18" s="21">
        <f t="shared" si="4"/>
        <v>0</v>
      </c>
      <c r="AC18" s="20">
        <f t="shared" si="5"/>
        <v>0</v>
      </c>
      <c r="AD18" s="20">
        <f t="shared" si="6"/>
        <v>0</v>
      </c>
      <c r="AE18" s="20">
        <f t="shared" si="7"/>
        <v>0</v>
      </c>
      <c r="AF18" s="19" t="e">
        <f t="shared" si="8"/>
        <v>#DIV/0!</v>
      </c>
      <c r="AG18" s="19" t="e">
        <f t="shared" si="9"/>
        <v>#DIV/0!</v>
      </c>
      <c r="AH18" s="19" t="e">
        <f t="shared" si="10"/>
        <v>#DIV/0!</v>
      </c>
      <c r="AI18" s="19" t="e">
        <f t="shared" si="11"/>
        <v>#DIV/0!</v>
      </c>
      <c r="AJ18" s="15">
        <f t="shared" si="14"/>
        <v>0</v>
      </c>
      <c r="AK18" s="19" t="e">
        <f t="shared" si="15"/>
        <v>#DIV/0!</v>
      </c>
      <c r="AL18" s="19" t="e">
        <f t="shared" si="16"/>
        <v>#DIV/0!</v>
      </c>
      <c r="AM18" s="19">
        <f t="shared" si="12"/>
        <v>0</v>
      </c>
      <c r="AN18" s="19" t="e">
        <f t="shared" si="17"/>
        <v>#DIV/0!</v>
      </c>
      <c r="AO18" s="19" t="e">
        <f t="shared" si="18"/>
        <v>#DIV/0!</v>
      </c>
      <c r="AP18" s="18" t="e">
        <f>-PV(#REF!,'3.4 - Open'!K18,'3.4 - Open'!P18)*'3.4 - Open'!B18</f>
        <v>#REF!</v>
      </c>
      <c r="AQ18" s="19" t="e">
        <f t="shared" si="19"/>
        <v>#REF!</v>
      </c>
      <c r="AR18" s="19" t="e">
        <f t="shared" si="20"/>
        <v>#REF!</v>
      </c>
      <c r="AS18" s="18" t="e">
        <f>B18*G18*K18*#REF!</f>
        <v>#REF!</v>
      </c>
      <c r="AT18" s="19" t="e">
        <f>B18*I18*K18*#REF!</f>
        <v>#REF!</v>
      </c>
      <c r="AU18" s="24"/>
      <c r="AV18" s="24"/>
      <c r="AW18" s="24"/>
      <c r="AX18" s="24"/>
      <c r="AY18" s="24"/>
      <c r="BK18" s="22" t="s">
        <v>18</v>
      </c>
    </row>
    <row r="19" spans="1:63" x14ac:dyDescent="0.25">
      <c r="A19" s="86"/>
      <c r="B19" s="86"/>
      <c r="C19" s="86"/>
      <c r="D19" s="86"/>
      <c r="E19" s="87"/>
      <c r="F19" s="87"/>
      <c r="G19" s="86"/>
      <c r="H19" s="86"/>
      <c r="I19" s="86"/>
      <c r="J19" s="86"/>
      <c r="K19" s="86"/>
      <c r="L19" s="86"/>
      <c r="M19" s="87"/>
      <c r="N19" s="87"/>
      <c r="O19" s="87"/>
      <c r="P19" s="87"/>
      <c r="Q19" s="87"/>
      <c r="R19" s="87"/>
      <c r="S19" s="87"/>
      <c r="T19" s="18">
        <f>IF(C19="Res Space Heat",VLOOKUP(K19,#REF!,4)*G19,IF(C19="Res AC",VLOOKUP(K19,#REF!,6)*G19,IF(C19="Res Lighting",VLOOKUP(K19,#REF!,8)*G19,IF(C19="Res Refrigeration",VLOOKUP(K19,#REF!,10)*G19,IF(C19="Res Water Heating",VLOOKUP(K19,#REF!,12)*G19,IF(C19="Res Dishwasher",VLOOKUP(K19,#REF!,14)*G19,IF(C19="Res Washer Dryer",VLOOKUP(K19,#REF!,16)*G19,IF(C19="Res Misc",VLOOKUP(K19,#REF!,18)*G19,IF(C19="Res Furnace Fan",VLOOKUP(K19,#REF!,20)*G19,IF(C19="NonRes Compressed Air",VLOOKUP(K19,#REF!,22)*G19,IF(C19="NonRes Cooking",VLOOKUP(K19,#REF!,24)*G19,IF(C19="NonRes Space Cooling",VLOOKUP(K19,#REF!,26)*G19,IF(C19="NonRes Exterior Lighting",VLOOKUP(K19,#REF!,28)*G19,IF(C19="NonRes Space Heating",VLOOKUP(K19,#REF!,30)*G19,IF(C19="NonRes Water Heating",VLOOKUP(K19,#REF!,32)*G19,IF(C19="NonRes Interior Lighting",VLOOKUP(K19,#REF!,34)*G19,IF(C19="NonRes Misc",VLOOKUP(K19,#REF!,36)*G19,IF(C19="NonRes Motors",VLOOKUP(K19,#REF!,38)*G19,IF(C19="NonRes Office Equipment",VLOOKUP(K19,#REF!,40)*G19,IF(C19="NonRes Process",VLOOKUP(K19,#REF!,42)*G19,IF(C19="NonRes Refrigeration",VLOOKUP(K19,#REF!,44)*G19,IF(C19="NonRes Ventilation",VLOOKUP(K19,#REF!,46)*G19,0))))))))))))))))))))))</f>
        <v>0</v>
      </c>
      <c r="U19" s="18">
        <f>IF(D19="Annual",VLOOKUP(K19,#REF!,4)*'3.4 - Open'!I19,IF(D19="Winter",VLOOKUP('3.4 - Open'!K19,#REF!,5)*'3.4 - Open'!I19,IF(D19="NA",0,0)))</f>
        <v>0</v>
      </c>
      <c r="V19" s="19" t="e">
        <f t="shared" si="0"/>
        <v>#DIV/0!</v>
      </c>
      <c r="W19" s="19" t="e">
        <f t="shared" si="1"/>
        <v>#DIV/0!</v>
      </c>
      <c r="X19" s="19" t="e">
        <f t="shared" si="2"/>
        <v>#DIV/0!</v>
      </c>
      <c r="Y19" s="19" t="e">
        <f t="shared" si="3"/>
        <v>#DIV/0!</v>
      </c>
      <c r="Z19" s="20" t="e">
        <f>(T19+U19+(PV(#REF!,'3.4 - Open'!K19,'3.4 - Open'!P19)*-1)+'3.4 - Open'!O19)/'3.4 - Open'!E19</f>
        <v>#REF!</v>
      </c>
      <c r="AA19" s="20" t="e">
        <f t="shared" si="13"/>
        <v>#DIV/0!</v>
      </c>
      <c r="AB19" s="21">
        <f t="shared" si="4"/>
        <v>0</v>
      </c>
      <c r="AC19" s="20">
        <f t="shared" si="5"/>
        <v>0</v>
      </c>
      <c r="AD19" s="20">
        <f t="shared" si="6"/>
        <v>0</v>
      </c>
      <c r="AE19" s="20">
        <f t="shared" si="7"/>
        <v>0</v>
      </c>
      <c r="AF19" s="19" t="e">
        <f t="shared" si="8"/>
        <v>#DIV/0!</v>
      </c>
      <c r="AG19" s="19" t="e">
        <f t="shared" si="9"/>
        <v>#DIV/0!</v>
      </c>
      <c r="AH19" s="19" t="e">
        <f t="shared" si="10"/>
        <v>#DIV/0!</v>
      </c>
      <c r="AI19" s="19" t="e">
        <f t="shared" si="11"/>
        <v>#DIV/0!</v>
      </c>
      <c r="AJ19" s="15">
        <f t="shared" si="14"/>
        <v>0</v>
      </c>
      <c r="AK19" s="19" t="e">
        <f t="shared" si="15"/>
        <v>#DIV/0!</v>
      </c>
      <c r="AL19" s="19" t="e">
        <f t="shared" si="16"/>
        <v>#DIV/0!</v>
      </c>
      <c r="AM19" s="19">
        <f t="shared" si="12"/>
        <v>0</v>
      </c>
      <c r="AN19" s="19" t="e">
        <f t="shared" si="17"/>
        <v>#DIV/0!</v>
      </c>
      <c r="AO19" s="19" t="e">
        <f t="shared" si="18"/>
        <v>#DIV/0!</v>
      </c>
      <c r="AP19" s="18" t="e">
        <f>-PV(#REF!,'3.4 - Open'!K19,'3.4 - Open'!P19)*'3.4 - Open'!B19</f>
        <v>#REF!</v>
      </c>
      <c r="AQ19" s="19" t="e">
        <f t="shared" si="19"/>
        <v>#REF!</v>
      </c>
      <c r="AR19" s="19" t="e">
        <f t="shared" si="20"/>
        <v>#REF!</v>
      </c>
      <c r="AS19" s="18" t="e">
        <f>B19*G19*K19*#REF!</f>
        <v>#REF!</v>
      </c>
      <c r="AT19" s="19" t="e">
        <f>B19*I19*K19*#REF!</f>
        <v>#REF!</v>
      </c>
      <c r="AU19" s="24"/>
      <c r="AV19" s="24"/>
      <c r="AW19" s="24"/>
      <c r="AX19" s="24"/>
      <c r="AY19" s="24"/>
      <c r="BK19" s="22" t="s">
        <v>19</v>
      </c>
    </row>
    <row r="20" spans="1:63" x14ac:dyDescent="0.25">
      <c r="A20" s="14"/>
      <c r="B20" s="14"/>
      <c r="C20" s="14"/>
      <c r="D20" s="14"/>
      <c r="E20" s="15"/>
      <c r="F20" s="15"/>
      <c r="G20" s="14"/>
      <c r="H20" s="14"/>
      <c r="I20" s="14"/>
      <c r="J20" s="14"/>
      <c r="K20" s="14"/>
      <c r="L20" s="14"/>
      <c r="M20" s="15"/>
      <c r="N20" s="15"/>
      <c r="O20" s="15"/>
      <c r="P20" s="15"/>
      <c r="Q20" s="15"/>
      <c r="R20" s="15"/>
      <c r="S20" s="15"/>
      <c r="T20" s="18">
        <f>IF(C20="Res Space Heat",VLOOKUP(K20,#REF!,4)*G20,IF(C20="Res AC",VLOOKUP(K20,#REF!,6)*G20,IF(C20="Res Lighting",VLOOKUP(K20,#REF!,8)*G20,IF(C20="Res Refrigeration",VLOOKUP(K20,#REF!,10)*G20,IF(C20="Res Water Heating",VLOOKUP(K20,#REF!,12)*G20,IF(C20="Res Dishwasher",VLOOKUP(K20,#REF!,14)*G20,IF(C20="Res Washer Dryer",VLOOKUP(K20,#REF!,16)*G20,IF(C20="Res Misc",VLOOKUP(K20,#REF!,18)*G20,IF(C20="Res Furnace Fan",VLOOKUP(K20,#REF!,20)*G20,IF(C20="NonRes Compressed Air",VLOOKUP(K20,#REF!,22)*G20,IF(C20="NonRes Cooking",VLOOKUP(K20,#REF!,24)*G20,IF(C20="NonRes Space Cooling",VLOOKUP(K20,#REF!,26)*G20,IF(C20="NonRes Exterior Lighting",VLOOKUP(K20,#REF!,28)*G20,IF(C20="NonRes Space Heating",VLOOKUP(K20,#REF!,30)*G20,IF(C20="NonRes Water Heating",VLOOKUP(K20,#REF!,32)*G20,IF(C20="NonRes Interior Lighting",VLOOKUP(K20,#REF!,34)*G20,IF(C20="NonRes Misc",VLOOKUP(K20,#REF!,36)*G20,IF(C20="NonRes Motors",VLOOKUP(K20,#REF!,38)*G20,IF(C20="NonRes Office Equipment",VLOOKUP(K20,#REF!,40)*G20,IF(C20="NonRes Process",VLOOKUP(K20,#REF!,42)*G20,IF(C20="NonRes Refrigeration",VLOOKUP(K20,#REF!,44)*G20,IF(C20="NonRes Ventilation",VLOOKUP(K20,#REF!,46)*G20,0))))))))))))))))))))))</f>
        <v>0</v>
      </c>
      <c r="U20" s="18">
        <f>IF(D20="Annual",VLOOKUP(K20,#REF!,4)*'3.4 - Open'!I20,IF(D20="Winter",VLOOKUP('3.4 - Open'!K20,#REF!,5)*'3.4 - Open'!I20,IF(D20="NA",0,0)))</f>
        <v>0</v>
      </c>
      <c r="V20" s="19" t="e">
        <f t="shared" si="0"/>
        <v>#DIV/0!</v>
      </c>
      <c r="W20" s="19" t="e">
        <f t="shared" si="1"/>
        <v>#DIV/0!</v>
      </c>
      <c r="X20" s="19" t="e">
        <f t="shared" si="2"/>
        <v>#DIV/0!</v>
      </c>
      <c r="Y20" s="19" t="e">
        <f t="shared" si="3"/>
        <v>#DIV/0!</v>
      </c>
      <c r="Z20" s="20" t="e">
        <f>(T20+U20+(PV(#REF!,'3.4 - Open'!K20,'3.4 - Open'!P20)*-1)+'3.4 - Open'!O20)/'3.4 - Open'!E20</f>
        <v>#REF!</v>
      </c>
      <c r="AA20" s="20" t="e">
        <f t="shared" si="13"/>
        <v>#DIV/0!</v>
      </c>
      <c r="AB20" s="21">
        <f t="shared" si="4"/>
        <v>0</v>
      </c>
      <c r="AC20" s="20">
        <f t="shared" si="5"/>
        <v>0</v>
      </c>
      <c r="AD20" s="20">
        <f t="shared" si="6"/>
        <v>0</v>
      </c>
      <c r="AE20" s="20">
        <f t="shared" si="7"/>
        <v>0</v>
      </c>
      <c r="AF20" s="19" t="e">
        <f t="shared" si="8"/>
        <v>#DIV/0!</v>
      </c>
      <c r="AG20" s="19" t="e">
        <f t="shared" si="9"/>
        <v>#DIV/0!</v>
      </c>
      <c r="AH20" s="19" t="e">
        <f t="shared" si="10"/>
        <v>#DIV/0!</v>
      </c>
      <c r="AI20" s="19" t="e">
        <f t="shared" si="11"/>
        <v>#DIV/0!</v>
      </c>
      <c r="AJ20" s="15">
        <f t="shared" si="14"/>
        <v>0</v>
      </c>
      <c r="AK20" s="19" t="e">
        <f t="shared" si="15"/>
        <v>#DIV/0!</v>
      </c>
      <c r="AL20" s="19" t="e">
        <f t="shared" si="16"/>
        <v>#DIV/0!</v>
      </c>
      <c r="AM20" s="19">
        <f t="shared" si="12"/>
        <v>0</v>
      </c>
      <c r="AN20" s="19" t="e">
        <f t="shared" si="17"/>
        <v>#DIV/0!</v>
      </c>
      <c r="AO20" s="19" t="e">
        <f t="shared" si="18"/>
        <v>#DIV/0!</v>
      </c>
      <c r="AP20" s="18" t="e">
        <f>-PV(#REF!,'3.4 - Open'!K20,'3.4 - Open'!P20)*'3.4 - Open'!B20</f>
        <v>#REF!</v>
      </c>
      <c r="AQ20" s="19" t="e">
        <f t="shared" si="19"/>
        <v>#REF!</v>
      </c>
      <c r="AR20" s="19" t="e">
        <f t="shared" si="20"/>
        <v>#REF!</v>
      </c>
      <c r="AS20" s="18" t="e">
        <f>B20*G20*K20*#REF!</f>
        <v>#REF!</v>
      </c>
      <c r="AT20" s="19" t="e">
        <f>B20*I20*K20*#REF!</f>
        <v>#REF!</v>
      </c>
      <c r="AU20" s="24"/>
      <c r="AV20" s="24"/>
      <c r="AW20" s="24"/>
      <c r="AX20" s="24"/>
      <c r="AY20" s="24"/>
      <c r="BK20" s="22" t="s">
        <v>20</v>
      </c>
    </row>
    <row r="21" spans="1:63" x14ac:dyDescent="0.25">
      <c r="A21" s="14"/>
      <c r="B21" s="14"/>
      <c r="C21" s="14"/>
      <c r="D21" s="14"/>
      <c r="E21" s="15"/>
      <c r="F21" s="15"/>
      <c r="G21" s="14"/>
      <c r="H21" s="14"/>
      <c r="I21" s="14"/>
      <c r="J21" s="14"/>
      <c r="K21" s="14"/>
      <c r="L21" s="14"/>
      <c r="M21" s="15"/>
      <c r="N21" s="15"/>
      <c r="O21" s="15"/>
      <c r="P21" s="15"/>
      <c r="Q21" s="15"/>
      <c r="R21" s="15"/>
      <c r="S21" s="15"/>
      <c r="T21" s="18">
        <f>IF(C21="Res Space Heat",VLOOKUP(K21,#REF!,4)*G21,IF(C21="Res AC",VLOOKUP(K21,#REF!,6)*G21,IF(C21="Res Lighting",VLOOKUP(K21,#REF!,8)*G21,IF(C21="Res Refrigeration",VLOOKUP(K21,#REF!,10)*G21,IF(C21="Res Water Heating",VLOOKUP(K21,#REF!,12)*G21,IF(C21="Res Dishwasher",VLOOKUP(K21,#REF!,14)*G21,IF(C21="Res Washer Dryer",VLOOKUP(K21,#REF!,16)*G21,IF(C21="Res Misc",VLOOKUP(K21,#REF!,18)*G21,IF(C21="Res Furnace Fan",VLOOKUP(K21,#REF!,20)*G21,IF(C21="NonRes Compressed Air",VLOOKUP(K21,#REF!,22)*G21,IF(C21="NonRes Cooking",VLOOKUP(K21,#REF!,24)*G21,IF(C21="NonRes Space Cooling",VLOOKUP(K21,#REF!,26)*G21,IF(C21="NonRes Exterior Lighting",VLOOKUP(K21,#REF!,28)*G21,IF(C21="NonRes Space Heating",VLOOKUP(K21,#REF!,30)*G21,IF(C21="NonRes Water Heating",VLOOKUP(K21,#REF!,32)*G21,IF(C21="NonRes Interior Lighting",VLOOKUP(K21,#REF!,34)*G21,IF(C21="NonRes Misc",VLOOKUP(K21,#REF!,36)*G21,IF(C21="NonRes Motors",VLOOKUP(K21,#REF!,38)*G21,IF(C21="NonRes Office Equipment",VLOOKUP(K21,#REF!,40)*G21,IF(C21="NonRes Process",VLOOKUP(K21,#REF!,42)*G21,IF(C21="NonRes Refrigeration",VLOOKUP(K21,#REF!,44)*G21,IF(C21="NonRes Ventilation",VLOOKUP(K21,#REF!,46)*G21,0))))))))))))))))))))))</f>
        <v>0</v>
      </c>
      <c r="U21" s="18">
        <f>IF(D21="Annual",VLOOKUP(K21,#REF!,4)*'3.4 - Open'!I21,IF(D21="Winter",VLOOKUP('3.4 - Open'!K21,#REF!,5)*'3.4 - Open'!I21,IF(D21="NA",0,0)))</f>
        <v>0</v>
      </c>
      <c r="V21" s="19" t="e">
        <f t="shared" si="0"/>
        <v>#DIV/0!</v>
      </c>
      <c r="W21" s="19" t="e">
        <f t="shared" si="1"/>
        <v>#DIV/0!</v>
      </c>
      <c r="X21" s="19" t="e">
        <f t="shared" si="2"/>
        <v>#DIV/0!</v>
      </c>
      <c r="Y21" s="19" t="e">
        <f t="shared" si="3"/>
        <v>#DIV/0!</v>
      </c>
      <c r="Z21" s="20" t="e">
        <f>(T21+U21+(PV(#REF!,'3.4 - Open'!K21,'3.4 - Open'!P21)*-1)+'3.4 - Open'!O21)/'3.4 - Open'!E21</f>
        <v>#REF!</v>
      </c>
      <c r="AA21" s="20" t="e">
        <f t="shared" si="13"/>
        <v>#DIV/0!</v>
      </c>
      <c r="AB21" s="21">
        <f t="shared" si="4"/>
        <v>0</v>
      </c>
      <c r="AC21" s="20">
        <f t="shared" si="5"/>
        <v>0</v>
      </c>
      <c r="AD21" s="20">
        <f t="shared" si="6"/>
        <v>0</v>
      </c>
      <c r="AE21" s="20">
        <f t="shared" si="7"/>
        <v>0</v>
      </c>
      <c r="AF21" s="19" t="e">
        <f t="shared" si="8"/>
        <v>#DIV/0!</v>
      </c>
      <c r="AG21" s="19" t="e">
        <f t="shared" si="9"/>
        <v>#DIV/0!</v>
      </c>
      <c r="AH21" s="19" t="e">
        <f t="shared" si="10"/>
        <v>#DIV/0!</v>
      </c>
      <c r="AI21" s="19" t="e">
        <f t="shared" si="11"/>
        <v>#DIV/0!</v>
      </c>
      <c r="AJ21" s="15">
        <f t="shared" si="14"/>
        <v>0</v>
      </c>
      <c r="AK21" s="19" t="e">
        <f t="shared" si="15"/>
        <v>#DIV/0!</v>
      </c>
      <c r="AL21" s="19" t="e">
        <f t="shared" si="16"/>
        <v>#DIV/0!</v>
      </c>
      <c r="AM21" s="19">
        <f t="shared" si="12"/>
        <v>0</v>
      </c>
      <c r="AN21" s="19" t="e">
        <f t="shared" si="17"/>
        <v>#DIV/0!</v>
      </c>
      <c r="AO21" s="19" t="e">
        <f t="shared" si="18"/>
        <v>#DIV/0!</v>
      </c>
      <c r="AP21" s="18" t="e">
        <f>-PV(#REF!,'3.4 - Open'!K21,'3.4 - Open'!P21)*'3.4 - Open'!B21</f>
        <v>#REF!</v>
      </c>
      <c r="AQ21" s="19" t="e">
        <f t="shared" si="19"/>
        <v>#REF!</v>
      </c>
      <c r="AR21" s="19" t="e">
        <f t="shared" si="20"/>
        <v>#REF!</v>
      </c>
      <c r="AS21" s="18" t="e">
        <f>B21*G21*K21*#REF!</f>
        <v>#REF!</v>
      </c>
      <c r="AT21" s="19" t="e">
        <f>B21*I21*K21*#REF!</f>
        <v>#REF!</v>
      </c>
      <c r="AU21" s="24"/>
      <c r="AV21" s="24"/>
      <c r="AW21" s="24"/>
      <c r="AX21" s="24"/>
      <c r="AY21" s="24"/>
      <c r="BK21" s="22" t="s">
        <v>21</v>
      </c>
    </row>
    <row r="22" spans="1:63" x14ac:dyDescent="0.25">
      <c r="A22" s="14"/>
      <c r="B22" s="14"/>
      <c r="C22" s="14"/>
      <c r="D22" s="14"/>
      <c r="E22" s="15"/>
      <c r="F22" s="15"/>
      <c r="G22" s="14"/>
      <c r="H22" s="14"/>
      <c r="I22" s="14"/>
      <c r="J22" s="14"/>
      <c r="K22" s="14"/>
      <c r="L22" s="14"/>
      <c r="M22" s="15"/>
      <c r="N22" s="15"/>
      <c r="O22" s="15"/>
      <c r="P22" s="15"/>
      <c r="Q22" s="15"/>
      <c r="R22" s="15"/>
      <c r="S22" s="15"/>
      <c r="T22" s="18">
        <f>IF(C22="Res Space Heat",VLOOKUP(K22,#REF!,4)*G22,IF(C22="Res AC",VLOOKUP(K22,#REF!,6)*G22,IF(C22="Res Lighting",VLOOKUP(K22,#REF!,8)*G22,IF(C22="Res Refrigeration",VLOOKUP(K22,#REF!,10)*G22,IF(C22="Res Water Heating",VLOOKUP(K22,#REF!,12)*G22,IF(C22="Res Dishwasher",VLOOKUP(K22,#REF!,14)*G22,IF(C22="Res Washer Dryer",VLOOKUP(K22,#REF!,16)*G22,IF(C22="Res Misc",VLOOKUP(K22,#REF!,18)*G22,IF(C22="Res Furnace Fan",VLOOKUP(K22,#REF!,20)*G22,IF(C22="NonRes Compressed Air",VLOOKUP(K22,#REF!,22)*G22,IF(C22="NonRes Cooking",VLOOKUP(K22,#REF!,24)*G22,IF(C22="NonRes Space Cooling",VLOOKUP(K22,#REF!,26)*G22,IF(C22="NonRes Exterior Lighting",VLOOKUP(K22,#REF!,28)*G22,IF(C22="NonRes Space Heating",VLOOKUP(K22,#REF!,30)*G22,IF(C22="NonRes Water Heating",VLOOKUP(K22,#REF!,32)*G22,IF(C22="NonRes Interior Lighting",VLOOKUP(K22,#REF!,34)*G22,IF(C22="NonRes Misc",VLOOKUP(K22,#REF!,36)*G22,IF(C22="NonRes Motors",VLOOKUP(K22,#REF!,38)*G22,IF(C22="NonRes Office Equipment",VLOOKUP(K22,#REF!,40)*G22,IF(C22="NonRes Process",VLOOKUP(K22,#REF!,42)*G22,IF(C22="NonRes Refrigeration",VLOOKUP(K22,#REF!,44)*G22,IF(C22="NonRes Ventilation",VLOOKUP(K22,#REF!,46)*G22,0))))))))))))))))))))))</f>
        <v>0</v>
      </c>
      <c r="U22" s="18">
        <f>IF(D22="Annual",VLOOKUP(K22,#REF!,4)*'3.4 - Open'!I22,IF(D22="Winter",VLOOKUP('3.4 - Open'!K22,#REF!,5)*'3.4 - Open'!I22,IF(D22="NA",0,0)))</f>
        <v>0</v>
      </c>
      <c r="V22" s="19" t="e">
        <f t="shared" si="0"/>
        <v>#DIV/0!</v>
      </c>
      <c r="W22" s="19" t="e">
        <f t="shared" si="1"/>
        <v>#DIV/0!</v>
      </c>
      <c r="X22" s="19" t="e">
        <f t="shared" si="2"/>
        <v>#DIV/0!</v>
      </c>
      <c r="Y22" s="19" t="e">
        <f t="shared" si="3"/>
        <v>#DIV/0!</v>
      </c>
      <c r="Z22" s="20" t="e">
        <f>(T22+U22+(PV(#REF!,'3.4 - Open'!K22,'3.4 - Open'!P22)*-1)+'3.4 - Open'!O22)/'3.4 - Open'!E22</f>
        <v>#REF!</v>
      </c>
      <c r="AA22" s="20" t="e">
        <f t="shared" si="13"/>
        <v>#DIV/0!</v>
      </c>
      <c r="AB22" s="21">
        <f t="shared" si="4"/>
        <v>0</v>
      </c>
      <c r="AC22" s="20">
        <f t="shared" si="5"/>
        <v>0</v>
      </c>
      <c r="AD22" s="20">
        <f t="shared" si="6"/>
        <v>0</v>
      </c>
      <c r="AE22" s="20">
        <f t="shared" si="7"/>
        <v>0</v>
      </c>
      <c r="AF22" s="19" t="e">
        <f t="shared" si="8"/>
        <v>#DIV/0!</v>
      </c>
      <c r="AG22" s="19" t="e">
        <f t="shared" si="9"/>
        <v>#DIV/0!</v>
      </c>
      <c r="AH22" s="19" t="e">
        <f t="shared" si="10"/>
        <v>#DIV/0!</v>
      </c>
      <c r="AI22" s="19" t="e">
        <f t="shared" si="11"/>
        <v>#DIV/0!</v>
      </c>
      <c r="AJ22" s="15">
        <f t="shared" si="14"/>
        <v>0</v>
      </c>
      <c r="AK22" s="19" t="e">
        <f t="shared" si="15"/>
        <v>#DIV/0!</v>
      </c>
      <c r="AL22" s="19" t="e">
        <f t="shared" si="16"/>
        <v>#DIV/0!</v>
      </c>
      <c r="AM22" s="19">
        <f t="shared" si="12"/>
        <v>0</v>
      </c>
      <c r="AN22" s="19" t="e">
        <f t="shared" si="17"/>
        <v>#DIV/0!</v>
      </c>
      <c r="AO22" s="19" t="e">
        <f t="shared" si="18"/>
        <v>#DIV/0!</v>
      </c>
      <c r="AP22" s="18" t="e">
        <f>-PV(#REF!,'3.4 - Open'!K22,'3.4 - Open'!P22)*'3.4 - Open'!B22</f>
        <v>#REF!</v>
      </c>
      <c r="AQ22" s="19" t="e">
        <f t="shared" si="19"/>
        <v>#REF!</v>
      </c>
      <c r="AR22" s="19" t="e">
        <f t="shared" si="20"/>
        <v>#REF!</v>
      </c>
      <c r="AS22" s="18" t="e">
        <f>B22*G22*K22*#REF!</f>
        <v>#REF!</v>
      </c>
      <c r="AT22" s="19" t="e">
        <f>B22*I22*K22*#REF!</f>
        <v>#REF!</v>
      </c>
      <c r="AU22" s="24"/>
      <c r="AV22" s="24"/>
      <c r="AW22" s="24"/>
      <c r="AX22" s="24"/>
      <c r="AY22" s="24"/>
      <c r="BK22" s="22" t="s">
        <v>22</v>
      </c>
    </row>
    <row r="23" spans="1:63" x14ac:dyDescent="0.25">
      <c r="A23" s="14"/>
      <c r="B23" s="14"/>
      <c r="C23" s="14"/>
      <c r="D23" s="14"/>
      <c r="E23" s="15"/>
      <c r="F23" s="15"/>
      <c r="G23" s="14"/>
      <c r="H23" s="14"/>
      <c r="I23" s="14"/>
      <c r="J23" s="14"/>
      <c r="K23" s="14"/>
      <c r="L23" s="14"/>
      <c r="M23" s="15"/>
      <c r="N23" s="15"/>
      <c r="O23" s="15"/>
      <c r="P23" s="15"/>
      <c r="Q23" s="15"/>
      <c r="R23" s="15"/>
      <c r="S23" s="15"/>
      <c r="T23" s="18">
        <f>IF(C23="Res Space Heat",VLOOKUP(K23,#REF!,4)*G23,IF(C23="Res AC",VLOOKUP(K23,#REF!,6)*G23,IF(C23="Res Lighting",VLOOKUP(K23,#REF!,8)*G23,IF(C23="Res Refrigeration",VLOOKUP(K23,#REF!,10)*G23,IF(C23="Res Water Heating",VLOOKUP(K23,#REF!,12)*G23,IF(C23="Res Dishwasher",VLOOKUP(K23,#REF!,14)*G23,IF(C23="Res Washer Dryer",VLOOKUP(K23,#REF!,16)*G23,IF(C23="Res Misc",VLOOKUP(K23,#REF!,18)*G23,IF(C23="Res Furnace Fan",VLOOKUP(K23,#REF!,20)*G23,IF(C23="NonRes Compressed Air",VLOOKUP(K23,#REF!,22)*G23,IF(C23="NonRes Cooking",VLOOKUP(K23,#REF!,24)*G23,IF(C23="NonRes Space Cooling",VLOOKUP(K23,#REF!,26)*G23,IF(C23="NonRes Exterior Lighting",VLOOKUP(K23,#REF!,28)*G23,IF(C23="NonRes Space Heating",VLOOKUP(K23,#REF!,30)*G23,IF(C23="NonRes Water Heating",VLOOKUP(K23,#REF!,32)*G23,IF(C23="NonRes Interior Lighting",VLOOKUP(K23,#REF!,34)*G23,IF(C23="NonRes Misc",VLOOKUP(K23,#REF!,36)*G23,IF(C23="NonRes Motors",VLOOKUP(K23,#REF!,38)*G23,IF(C23="NonRes Office Equipment",VLOOKUP(K23,#REF!,40)*G23,IF(C23="NonRes Process",VLOOKUP(K23,#REF!,42)*G23,IF(C23="NonRes Refrigeration",VLOOKUP(K23,#REF!,44)*G23,IF(C23="NonRes Ventilation",VLOOKUP(K23,#REF!,46)*G23,0))))))))))))))))))))))</f>
        <v>0</v>
      </c>
      <c r="U23" s="18">
        <f>IF(D23="Annual",VLOOKUP(K23,#REF!,4)*'3.4 - Open'!I23,IF(D23="Winter",VLOOKUP('3.4 - Open'!K23,#REF!,5)*'3.4 - Open'!I23,IF(D23="NA",0,0)))</f>
        <v>0</v>
      </c>
      <c r="V23" s="19" t="e">
        <f t="shared" si="0"/>
        <v>#DIV/0!</v>
      </c>
      <c r="W23" s="19" t="e">
        <f t="shared" si="1"/>
        <v>#DIV/0!</v>
      </c>
      <c r="X23" s="19" t="e">
        <f t="shared" si="2"/>
        <v>#DIV/0!</v>
      </c>
      <c r="Y23" s="19" t="e">
        <f t="shared" si="3"/>
        <v>#DIV/0!</v>
      </c>
      <c r="Z23" s="20" t="e">
        <f>(T23+U23+(PV(#REF!,'3.4 - Open'!K23,'3.4 - Open'!P23)*-1)+'3.4 - Open'!O23)/'3.4 - Open'!E23</f>
        <v>#REF!</v>
      </c>
      <c r="AA23" s="20" t="e">
        <f t="shared" si="13"/>
        <v>#DIV/0!</v>
      </c>
      <c r="AB23" s="21">
        <f t="shared" si="4"/>
        <v>0</v>
      </c>
      <c r="AC23" s="20">
        <f t="shared" si="5"/>
        <v>0</v>
      </c>
      <c r="AD23" s="20">
        <f t="shared" si="6"/>
        <v>0</v>
      </c>
      <c r="AE23" s="20">
        <f t="shared" si="7"/>
        <v>0</v>
      </c>
      <c r="AF23" s="19" t="e">
        <f t="shared" si="8"/>
        <v>#DIV/0!</v>
      </c>
      <c r="AG23" s="19" t="e">
        <f t="shared" si="9"/>
        <v>#DIV/0!</v>
      </c>
      <c r="AH23" s="19" t="e">
        <f t="shared" si="10"/>
        <v>#DIV/0!</v>
      </c>
      <c r="AI23" s="19" t="e">
        <f t="shared" si="11"/>
        <v>#DIV/0!</v>
      </c>
      <c r="AJ23" s="15">
        <f t="shared" si="14"/>
        <v>0</v>
      </c>
      <c r="AK23" s="19" t="e">
        <f t="shared" si="15"/>
        <v>#DIV/0!</v>
      </c>
      <c r="AL23" s="19" t="e">
        <f t="shared" si="16"/>
        <v>#DIV/0!</v>
      </c>
      <c r="AM23" s="19">
        <f t="shared" si="12"/>
        <v>0</v>
      </c>
      <c r="AN23" s="19" t="e">
        <f t="shared" si="17"/>
        <v>#DIV/0!</v>
      </c>
      <c r="AO23" s="19" t="e">
        <f t="shared" si="18"/>
        <v>#DIV/0!</v>
      </c>
      <c r="AP23" s="18" t="e">
        <f>-PV(#REF!,'3.4 - Open'!K23,'3.4 - Open'!P23)*'3.4 - Open'!B23</f>
        <v>#REF!</v>
      </c>
      <c r="AQ23" s="19" t="e">
        <f t="shared" si="19"/>
        <v>#REF!</v>
      </c>
      <c r="AR23" s="19" t="e">
        <f t="shared" si="20"/>
        <v>#REF!</v>
      </c>
      <c r="AS23" s="18" t="e">
        <f>B23*G23*K23*#REF!</f>
        <v>#REF!</v>
      </c>
      <c r="AT23" s="19" t="e">
        <f>B23*I23*K23*#REF!</f>
        <v>#REF!</v>
      </c>
      <c r="AU23" s="24"/>
      <c r="AV23" s="24"/>
      <c r="AW23" s="24"/>
      <c r="AX23" s="24"/>
      <c r="AY23" s="24"/>
      <c r="BK23" s="22"/>
    </row>
    <row r="24" spans="1:63" x14ac:dyDescent="0.25">
      <c r="A24" s="14"/>
      <c r="B24" s="14"/>
      <c r="C24" s="14"/>
      <c r="D24" s="14"/>
      <c r="E24" s="15"/>
      <c r="F24" s="15"/>
      <c r="G24" s="14"/>
      <c r="H24" s="14"/>
      <c r="I24" s="14"/>
      <c r="J24" s="14"/>
      <c r="K24" s="14"/>
      <c r="L24" s="14"/>
      <c r="M24" s="15"/>
      <c r="N24" s="15"/>
      <c r="O24" s="15"/>
      <c r="P24" s="15"/>
      <c r="Q24" s="15"/>
      <c r="R24" s="15"/>
      <c r="S24" s="15"/>
      <c r="T24" s="18">
        <f>IF(C24="Res Space Heat",VLOOKUP(K24,#REF!,4)*G24,IF(C24="Res AC",VLOOKUP(K24,#REF!,6)*G24,IF(C24="Res Lighting",VLOOKUP(K24,#REF!,8)*G24,IF(C24="Res Refrigeration",VLOOKUP(K24,#REF!,10)*G24,IF(C24="Res Water Heating",VLOOKUP(K24,#REF!,12)*G24,IF(C24="Res Dishwasher",VLOOKUP(K24,#REF!,14)*G24,IF(C24="Res Washer Dryer",VLOOKUP(K24,#REF!,16)*G24,IF(C24="Res Misc",VLOOKUP(K24,#REF!,18)*G24,IF(C24="Res Furnace Fan",VLOOKUP(K24,#REF!,20)*G24,IF(C24="NonRes Compressed Air",VLOOKUP(K24,#REF!,22)*G24,IF(C24="NonRes Cooking",VLOOKUP(K24,#REF!,24)*G24,IF(C24="NonRes Space Cooling",VLOOKUP(K24,#REF!,26)*G24,IF(C24="NonRes Exterior Lighting",VLOOKUP(K24,#REF!,28)*G24,IF(C24="NonRes Space Heating",VLOOKUP(K24,#REF!,30)*G24,IF(C24="NonRes Water Heating",VLOOKUP(K24,#REF!,32)*G24,IF(C24="NonRes Interior Lighting",VLOOKUP(K24,#REF!,34)*G24,IF(C24="NonRes Misc",VLOOKUP(K24,#REF!,36)*G24,IF(C24="NonRes Motors",VLOOKUP(K24,#REF!,38)*G24,IF(C24="NonRes Office Equipment",VLOOKUP(K24,#REF!,40)*G24,IF(C24="NonRes Process",VLOOKUP(K24,#REF!,42)*G24,IF(C24="NonRes Refrigeration",VLOOKUP(K24,#REF!,44)*G24,IF(C24="NonRes Ventilation",VLOOKUP(K24,#REF!,46)*G24,0))))))))))))))))))))))</f>
        <v>0</v>
      </c>
      <c r="U24" s="18">
        <f>IF(D24="Annual",VLOOKUP(K24,#REF!,4)*'3.4 - Open'!I24,IF(D24="Winter",VLOOKUP('3.4 - Open'!K24,#REF!,5)*'3.4 - Open'!I24,IF(D24="NA",0,0)))</f>
        <v>0</v>
      </c>
      <c r="V24" s="19" t="e">
        <f t="shared" si="0"/>
        <v>#DIV/0!</v>
      </c>
      <c r="W24" s="19" t="e">
        <f t="shared" si="1"/>
        <v>#DIV/0!</v>
      </c>
      <c r="X24" s="19" t="e">
        <f t="shared" si="2"/>
        <v>#DIV/0!</v>
      </c>
      <c r="Y24" s="19" t="e">
        <f t="shared" si="3"/>
        <v>#DIV/0!</v>
      </c>
      <c r="Z24" s="20" t="e">
        <f>(T24+U24+(PV(#REF!,'3.4 - Open'!K24,'3.4 - Open'!P24)*-1)+'3.4 - Open'!O24)/'3.4 - Open'!E24</f>
        <v>#REF!</v>
      </c>
      <c r="AA24" s="20" t="e">
        <f t="shared" si="13"/>
        <v>#DIV/0!</v>
      </c>
      <c r="AB24" s="21">
        <f t="shared" si="4"/>
        <v>0</v>
      </c>
      <c r="AC24" s="20">
        <f t="shared" si="5"/>
        <v>0</v>
      </c>
      <c r="AD24" s="20">
        <f t="shared" si="6"/>
        <v>0</v>
      </c>
      <c r="AE24" s="20">
        <f t="shared" si="7"/>
        <v>0</v>
      </c>
      <c r="AF24" s="19" t="e">
        <f t="shared" si="8"/>
        <v>#DIV/0!</v>
      </c>
      <c r="AG24" s="19" t="e">
        <f t="shared" si="9"/>
        <v>#DIV/0!</v>
      </c>
      <c r="AH24" s="19" t="e">
        <f t="shared" si="10"/>
        <v>#DIV/0!</v>
      </c>
      <c r="AI24" s="19" t="e">
        <f t="shared" si="11"/>
        <v>#DIV/0!</v>
      </c>
      <c r="AJ24" s="15">
        <f t="shared" si="14"/>
        <v>0</v>
      </c>
      <c r="AK24" s="19" t="e">
        <f t="shared" si="15"/>
        <v>#DIV/0!</v>
      </c>
      <c r="AL24" s="19" t="e">
        <f t="shared" si="16"/>
        <v>#DIV/0!</v>
      </c>
      <c r="AM24" s="19">
        <f t="shared" si="12"/>
        <v>0</v>
      </c>
      <c r="AN24" s="19" t="e">
        <f t="shared" si="17"/>
        <v>#DIV/0!</v>
      </c>
      <c r="AO24" s="19" t="e">
        <f t="shared" si="18"/>
        <v>#DIV/0!</v>
      </c>
      <c r="AP24" s="18" t="e">
        <f>-PV(#REF!,'3.4 - Open'!K24,'3.4 - Open'!P24)*'3.4 - Open'!B24</f>
        <v>#REF!</v>
      </c>
      <c r="AQ24" s="19" t="e">
        <f t="shared" si="19"/>
        <v>#REF!</v>
      </c>
      <c r="AR24" s="19" t="e">
        <f t="shared" si="20"/>
        <v>#REF!</v>
      </c>
      <c r="AS24" s="18" t="e">
        <f>B24*G24*K24*#REF!</f>
        <v>#REF!</v>
      </c>
      <c r="AT24" s="19" t="e">
        <f>B24*I24*K24*#REF!</f>
        <v>#REF!</v>
      </c>
      <c r="AU24" s="24"/>
      <c r="AV24" s="24"/>
      <c r="AW24" s="24"/>
      <c r="AX24" s="24"/>
      <c r="AY24" s="24"/>
      <c r="BK24" s="22" t="s">
        <v>0</v>
      </c>
    </row>
    <row r="25" spans="1:63" x14ac:dyDescent="0.25">
      <c r="A25" s="14"/>
      <c r="B25" s="14"/>
      <c r="C25" s="14"/>
      <c r="D25" s="14"/>
      <c r="E25" s="15"/>
      <c r="F25" s="15"/>
      <c r="G25" s="14"/>
      <c r="H25" s="14"/>
      <c r="I25" s="14"/>
      <c r="J25" s="14"/>
      <c r="K25" s="14"/>
      <c r="L25" s="14"/>
      <c r="M25" s="15"/>
      <c r="N25" s="15"/>
      <c r="O25" s="15"/>
      <c r="P25" s="15"/>
      <c r="Q25" s="15"/>
      <c r="R25" s="15"/>
      <c r="S25" s="15"/>
      <c r="T25" s="18">
        <f>IF(C25="Res Space Heat",VLOOKUP(K25,#REF!,4)*G25,IF(C25="Res AC",VLOOKUP(K25,#REF!,6)*G25,IF(C25="Res Lighting",VLOOKUP(K25,#REF!,8)*G25,IF(C25="Res Refrigeration",VLOOKUP(K25,#REF!,10)*G25,IF(C25="Res Water Heating",VLOOKUP(K25,#REF!,12)*G25,IF(C25="Res Dishwasher",VLOOKUP(K25,#REF!,14)*G25,IF(C25="Res Washer Dryer",VLOOKUP(K25,#REF!,16)*G25,IF(C25="Res Misc",VLOOKUP(K25,#REF!,18)*G25,IF(C25="Res Furnace Fan",VLOOKUP(K25,#REF!,20)*G25,IF(C25="NonRes Compressed Air",VLOOKUP(K25,#REF!,22)*G25,IF(C25="NonRes Cooking",VLOOKUP(K25,#REF!,24)*G25,IF(C25="NonRes Space Cooling",VLOOKUP(K25,#REF!,26)*G25,IF(C25="NonRes Exterior Lighting",VLOOKUP(K25,#REF!,28)*G25,IF(C25="NonRes Space Heating",VLOOKUP(K25,#REF!,30)*G25,IF(C25="NonRes Water Heating",VLOOKUP(K25,#REF!,32)*G25,IF(C25="NonRes Interior Lighting",VLOOKUP(K25,#REF!,34)*G25,IF(C25="NonRes Misc",VLOOKUP(K25,#REF!,36)*G25,IF(C25="NonRes Motors",VLOOKUP(K25,#REF!,38)*G25,IF(C25="NonRes Office Equipment",VLOOKUP(K25,#REF!,40)*G25,IF(C25="NonRes Process",VLOOKUP(K25,#REF!,42)*G25,IF(C25="NonRes Refrigeration",VLOOKUP(K25,#REF!,44)*G25,IF(C25="NonRes Ventilation",VLOOKUP(K25,#REF!,46)*G25,0))))))))))))))))))))))</f>
        <v>0</v>
      </c>
      <c r="U25" s="18">
        <f>IF(D25="Annual",VLOOKUP(K25,#REF!,4)*'3.4 - Open'!I25,IF(D25="Winter",VLOOKUP('3.4 - Open'!K25,#REF!,5)*'3.4 - Open'!I25,IF(D25="NA",0,0)))</f>
        <v>0</v>
      </c>
      <c r="V25" s="19" t="e">
        <f t="shared" si="0"/>
        <v>#DIV/0!</v>
      </c>
      <c r="W25" s="19" t="e">
        <f t="shared" si="1"/>
        <v>#DIV/0!</v>
      </c>
      <c r="X25" s="19" t="e">
        <f t="shared" si="2"/>
        <v>#DIV/0!</v>
      </c>
      <c r="Y25" s="19" t="e">
        <f t="shared" si="3"/>
        <v>#DIV/0!</v>
      </c>
      <c r="Z25" s="20" t="e">
        <f>(T25+U25+(PV(#REF!,'3.4 - Open'!K25,'3.4 - Open'!P25)*-1)+'3.4 - Open'!O25)/'3.4 - Open'!E25</f>
        <v>#REF!</v>
      </c>
      <c r="AA25" s="20" t="e">
        <f t="shared" si="13"/>
        <v>#DIV/0!</v>
      </c>
      <c r="AB25" s="21">
        <f t="shared" si="4"/>
        <v>0</v>
      </c>
      <c r="AC25" s="20">
        <f t="shared" si="5"/>
        <v>0</v>
      </c>
      <c r="AD25" s="20">
        <f t="shared" si="6"/>
        <v>0</v>
      </c>
      <c r="AE25" s="20">
        <f t="shared" si="7"/>
        <v>0</v>
      </c>
      <c r="AF25" s="19" t="e">
        <f t="shared" si="8"/>
        <v>#DIV/0!</v>
      </c>
      <c r="AG25" s="19" t="e">
        <f t="shared" si="9"/>
        <v>#DIV/0!</v>
      </c>
      <c r="AH25" s="19" t="e">
        <f t="shared" si="10"/>
        <v>#DIV/0!</v>
      </c>
      <c r="AI25" s="19" t="e">
        <f t="shared" si="11"/>
        <v>#DIV/0!</v>
      </c>
      <c r="AJ25" s="15">
        <f t="shared" si="14"/>
        <v>0</v>
      </c>
      <c r="AK25" s="19" t="e">
        <f t="shared" si="15"/>
        <v>#DIV/0!</v>
      </c>
      <c r="AL25" s="19" t="e">
        <f t="shared" si="16"/>
        <v>#DIV/0!</v>
      </c>
      <c r="AM25" s="19">
        <f t="shared" si="12"/>
        <v>0</v>
      </c>
      <c r="AN25" s="19" t="e">
        <f t="shared" si="17"/>
        <v>#DIV/0!</v>
      </c>
      <c r="AO25" s="19" t="e">
        <f t="shared" si="18"/>
        <v>#DIV/0!</v>
      </c>
      <c r="AP25" s="18" t="e">
        <f>-PV(#REF!,'3.4 - Open'!K25,'3.4 - Open'!P25)*'3.4 - Open'!B25</f>
        <v>#REF!</v>
      </c>
      <c r="AQ25" s="19" t="e">
        <f t="shared" si="19"/>
        <v>#REF!</v>
      </c>
      <c r="AR25" s="19" t="e">
        <f t="shared" si="20"/>
        <v>#REF!</v>
      </c>
      <c r="AS25" s="18" t="e">
        <f>B25*G25*K25*#REF!</f>
        <v>#REF!</v>
      </c>
      <c r="AT25" s="19" t="e">
        <f>B25*I25*K25*#REF!</f>
        <v>#REF!</v>
      </c>
      <c r="AU25" s="24"/>
      <c r="AV25" s="24"/>
      <c r="AW25" s="24"/>
      <c r="AX25" s="24"/>
      <c r="AY25" s="24"/>
      <c r="BK25" s="22" t="s">
        <v>26</v>
      </c>
    </row>
    <row r="26" spans="1:63" x14ac:dyDescent="0.25">
      <c r="A26" s="14"/>
      <c r="B26" s="14"/>
      <c r="C26" s="14"/>
      <c r="D26" s="14"/>
      <c r="E26" s="15"/>
      <c r="F26" s="15"/>
      <c r="G26" s="14"/>
      <c r="H26" s="14"/>
      <c r="I26" s="14"/>
      <c r="J26" s="14"/>
      <c r="K26" s="14"/>
      <c r="L26" s="14"/>
      <c r="M26" s="15"/>
      <c r="N26" s="15"/>
      <c r="O26" s="15"/>
      <c r="P26" s="15"/>
      <c r="Q26" s="15"/>
      <c r="R26" s="15"/>
      <c r="S26" s="15"/>
      <c r="T26" s="18">
        <f>IF(C26="Res Space Heat",VLOOKUP(K26,#REF!,4)*G26,IF(C26="Res AC",VLOOKUP(K26,#REF!,6)*G26,IF(C26="Res Lighting",VLOOKUP(K26,#REF!,8)*G26,IF(C26="Res Refrigeration",VLOOKUP(K26,#REF!,10)*G26,IF(C26="Res Water Heating",VLOOKUP(K26,#REF!,12)*G26,IF(C26="Res Dishwasher",VLOOKUP(K26,#REF!,14)*G26,IF(C26="Res Washer Dryer",VLOOKUP(K26,#REF!,16)*G26,IF(C26="Res Misc",VLOOKUP(K26,#REF!,18)*G26,IF(C26="Res Furnace Fan",VLOOKUP(K26,#REF!,20)*G26,IF(C26="NonRes Compressed Air",VLOOKUP(K26,#REF!,22)*G26,IF(C26="NonRes Cooking",VLOOKUP(K26,#REF!,24)*G26,IF(C26="NonRes Space Cooling",VLOOKUP(K26,#REF!,26)*G26,IF(C26="NonRes Exterior Lighting",VLOOKUP(K26,#REF!,28)*G26,IF(C26="NonRes Space Heating",VLOOKUP(K26,#REF!,30)*G26,IF(C26="NonRes Water Heating",VLOOKUP(K26,#REF!,32)*G26,IF(C26="NonRes Interior Lighting",VLOOKUP(K26,#REF!,34)*G26,IF(C26="NonRes Misc",VLOOKUP(K26,#REF!,36)*G26,IF(C26="NonRes Motors",VLOOKUP(K26,#REF!,38)*G26,IF(C26="NonRes Office Equipment",VLOOKUP(K26,#REF!,40)*G26,IF(C26="NonRes Process",VLOOKUP(K26,#REF!,42)*G26,IF(C26="NonRes Refrigeration",VLOOKUP(K26,#REF!,44)*G26,IF(C26="NonRes Ventilation",VLOOKUP(K26,#REF!,46)*G26,0))))))))))))))))))))))</f>
        <v>0</v>
      </c>
      <c r="U26" s="18">
        <f>IF(D26="Annual",VLOOKUP(K26,#REF!,4)*'3.4 - Open'!I26,IF(D26="Winter",VLOOKUP('3.4 - Open'!K26,#REF!,5)*'3.4 - Open'!I26,IF(D26="NA",0,0)))</f>
        <v>0</v>
      </c>
      <c r="V26" s="19" t="e">
        <f t="shared" si="0"/>
        <v>#DIV/0!</v>
      </c>
      <c r="W26" s="19" t="e">
        <f t="shared" si="1"/>
        <v>#DIV/0!</v>
      </c>
      <c r="X26" s="19" t="e">
        <f t="shared" si="2"/>
        <v>#DIV/0!</v>
      </c>
      <c r="Y26" s="19" t="e">
        <f t="shared" si="3"/>
        <v>#DIV/0!</v>
      </c>
      <c r="Z26" s="20" t="e">
        <f>(T26+U26+(PV(#REF!,'3.4 - Open'!K26,'3.4 - Open'!P26)*-1)+'3.4 - Open'!O26)/'3.4 - Open'!E26</f>
        <v>#REF!</v>
      </c>
      <c r="AA26" s="20" t="e">
        <f t="shared" si="13"/>
        <v>#DIV/0!</v>
      </c>
      <c r="AB26" s="21">
        <f t="shared" si="4"/>
        <v>0</v>
      </c>
      <c r="AC26" s="20">
        <f t="shared" si="5"/>
        <v>0</v>
      </c>
      <c r="AD26" s="20">
        <f t="shared" si="6"/>
        <v>0</v>
      </c>
      <c r="AE26" s="20">
        <f t="shared" si="7"/>
        <v>0</v>
      </c>
      <c r="AF26" s="19" t="e">
        <f t="shared" si="8"/>
        <v>#DIV/0!</v>
      </c>
      <c r="AG26" s="19" t="e">
        <f t="shared" si="9"/>
        <v>#DIV/0!</v>
      </c>
      <c r="AH26" s="19" t="e">
        <f t="shared" si="10"/>
        <v>#DIV/0!</v>
      </c>
      <c r="AI26" s="19" t="e">
        <f t="shared" si="11"/>
        <v>#DIV/0!</v>
      </c>
      <c r="AJ26" s="15">
        <f t="shared" si="14"/>
        <v>0</v>
      </c>
      <c r="AK26" s="19" t="e">
        <f t="shared" si="15"/>
        <v>#DIV/0!</v>
      </c>
      <c r="AL26" s="19" t="e">
        <f t="shared" si="16"/>
        <v>#DIV/0!</v>
      </c>
      <c r="AM26" s="19">
        <f t="shared" si="12"/>
        <v>0</v>
      </c>
      <c r="AN26" s="19" t="e">
        <f t="shared" si="17"/>
        <v>#DIV/0!</v>
      </c>
      <c r="AO26" s="19" t="e">
        <f t="shared" si="18"/>
        <v>#DIV/0!</v>
      </c>
      <c r="AP26" s="18" t="e">
        <f>-PV(#REF!,'3.4 - Open'!K26,'3.4 - Open'!P26)*'3.4 - Open'!B26</f>
        <v>#REF!</v>
      </c>
      <c r="AQ26" s="19" t="e">
        <f t="shared" si="19"/>
        <v>#REF!</v>
      </c>
      <c r="AR26" s="19" t="e">
        <f t="shared" si="20"/>
        <v>#REF!</v>
      </c>
      <c r="AS26" s="18" t="e">
        <f>B26*G26*K26*#REF!</f>
        <v>#REF!</v>
      </c>
      <c r="AT26" s="19" t="e">
        <f>B26*I26*K26*#REF!</f>
        <v>#REF!</v>
      </c>
      <c r="AU26" s="24"/>
      <c r="AV26" s="24"/>
      <c r="AW26" s="24"/>
      <c r="AX26" s="24"/>
      <c r="AY26" s="24"/>
      <c r="BK26" s="22" t="s">
        <v>24</v>
      </c>
    </row>
    <row r="27" spans="1:63" x14ac:dyDescent="0.25">
      <c r="A27" s="14"/>
      <c r="B27" s="14"/>
      <c r="C27" s="14"/>
      <c r="D27" s="14"/>
      <c r="E27" s="15"/>
      <c r="F27" s="15"/>
      <c r="G27" s="14"/>
      <c r="H27" s="14"/>
      <c r="I27" s="14"/>
      <c r="J27" s="14"/>
      <c r="K27" s="14"/>
      <c r="L27" s="14"/>
      <c r="M27" s="15"/>
      <c r="N27" s="15"/>
      <c r="O27" s="15"/>
      <c r="P27" s="15"/>
      <c r="Q27" s="15"/>
      <c r="R27" s="15"/>
      <c r="S27" s="15"/>
      <c r="T27" s="18">
        <f>IF(C27="Res Space Heat",VLOOKUP(K27,#REF!,4)*G27,IF(C27="Res AC",VLOOKUP(K27,#REF!,6)*G27,IF(C27="Res Lighting",VLOOKUP(K27,#REF!,8)*G27,IF(C27="Res Refrigeration",VLOOKUP(K27,#REF!,10)*G27,IF(C27="Res Water Heating",VLOOKUP(K27,#REF!,12)*G27,IF(C27="Res Dishwasher",VLOOKUP(K27,#REF!,14)*G27,IF(C27="Res Washer Dryer",VLOOKUP(K27,#REF!,16)*G27,IF(C27="Res Misc",VLOOKUP(K27,#REF!,18)*G27,IF(C27="Res Furnace Fan",VLOOKUP(K27,#REF!,20)*G27,IF(C27="NonRes Compressed Air",VLOOKUP(K27,#REF!,22)*G27,IF(C27="NonRes Cooking",VLOOKUP(K27,#REF!,24)*G27,IF(C27="NonRes Space Cooling",VLOOKUP(K27,#REF!,26)*G27,IF(C27="NonRes Exterior Lighting",VLOOKUP(K27,#REF!,28)*G27,IF(C27="NonRes Space Heating",VLOOKUP(K27,#REF!,30)*G27,IF(C27="NonRes Water Heating",VLOOKUP(K27,#REF!,32)*G27,IF(C27="NonRes Interior Lighting",VLOOKUP(K27,#REF!,34)*G27,IF(C27="NonRes Misc",VLOOKUP(K27,#REF!,36)*G27,IF(C27="NonRes Motors",VLOOKUP(K27,#REF!,38)*G27,IF(C27="NonRes Office Equipment",VLOOKUP(K27,#REF!,40)*G27,IF(C27="NonRes Process",VLOOKUP(K27,#REF!,42)*G27,IF(C27="NonRes Refrigeration",VLOOKUP(K27,#REF!,44)*G27,IF(C27="NonRes Ventilation",VLOOKUP(K27,#REF!,46)*G27,0))))))))))))))))))))))</f>
        <v>0</v>
      </c>
      <c r="U27" s="18">
        <f>IF(D27="Annual",VLOOKUP(K27,#REF!,4)*'3.4 - Open'!I27,IF(D27="Winter",VLOOKUP('3.4 - Open'!K27,#REF!,5)*'3.4 - Open'!I27,IF(D27="NA",0,0)))</f>
        <v>0</v>
      </c>
      <c r="V27" s="19" t="e">
        <f t="shared" si="0"/>
        <v>#DIV/0!</v>
      </c>
      <c r="W27" s="19" t="e">
        <f t="shared" si="1"/>
        <v>#DIV/0!</v>
      </c>
      <c r="X27" s="19" t="e">
        <f t="shared" si="2"/>
        <v>#DIV/0!</v>
      </c>
      <c r="Y27" s="19" t="e">
        <f t="shared" si="3"/>
        <v>#DIV/0!</v>
      </c>
      <c r="Z27" s="20" t="e">
        <f>(T27+U27+(PV(#REF!,'3.4 - Open'!K27,'3.4 - Open'!P27)*-1)+'3.4 - Open'!O27)/'3.4 - Open'!E27</f>
        <v>#REF!</v>
      </c>
      <c r="AA27" s="20" t="e">
        <f t="shared" si="13"/>
        <v>#DIV/0!</v>
      </c>
      <c r="AB27" s="21">
        <f t="shared" si="4"/>
        <v>0</v>
      </c>
      <c r="AC27" s="20">
        <f t="shared" si="5"/>
        <v>0</v>
      </c>
      <c r="AD27" s="20">
        <f t="shared" si="6"/>
        <v>0</v>
      </c>
      <c r="AE27" s="20">
        <f t="shared" si="7"/>
        <v>0</v>
      </c>
      <c r="AF27" s="19" t="e">
        <f t="shared" si="8"/>
        <v>#DIV/0!</v>
      </c>
      <c r="AG27" s="19" t="e">
        <f t="shared" si="9"/>
        <v>#DIV/0!</v>
      </c>
      <c r="AH27" s="19" t="e">
        <f t="shared" si="10"/>
        <v>#DIV/0!</v>
      </c>
      <c r="AI27" s="19" t="e">
        <f t="shared" si="11"/>
        <v>#DIV/0!</v>
      </c>
      <c r="AJ27" s="15">
        <f t="shared" si="14"/>
        <v>0</v>
      </c>
      <c r="AK27" s="19" t="e">
        <f t="shared" si="15"/>
        <v>#DIV/0!</v>
      </c>
      <c r="AL27" s="19" t="e">
        <f t="shared" si="16"/>
        <v>#DIV/0!</v>
      </c>
      <c r="AM27" s="19">
        <f t="shared" si="12"/>
        <v>0</v>
      </c>
      <c r="AN27" s="19" t="e">
        <f t="shared" si="17"/>
        <v>#DIV/0!</v>
      </c>
      <c r="AO27" s="19" t="e">
        <f t="shared" si="18"/>
        <v>#DIV/0!</v>
      </c>
      <c r="AP27" s="18" t="e">
        <f>-PV(#REF!,'3.4 - Open'!K27,'3.4 - Open'!P27)*'3.4 - Open'!B27</f>
        <v>#REF!</v>
      </c>
      <c r="AQ27" s="19" t="e">
        <f t="shared" si="19"/>
        <v>#REF!</v>
      </c>
      <c r="AR27" s="19" t="e">
        <f t="shared" si="20"/>
        <v>#REF!</v>
      </c>
      <c r="AS27" s="18" t="e">
        <f>B27*G27*K27*#REF!</f>
        <v>#REF!</v>
      </c>
      <c r="AT27" s="19" t="e">
        <f>B27*I27*K27*#REF!</f>
        <v>#REF!</v>
      </c>
      <c r="AU27" s="24"/>
      <c r="AV27" s="24"/>
      <c r="AW27" s="24"/>
      <c r="AX27" s="24"/>
      <c r="AY27" s="24"/>
    </row>
    <row r="28" spans="1:63" x14ac:dyDescent="0.25">
      <c r="A28" s="14"/>
      <c r="B28" s="14"/>
      <c r="C28" s="14"/>
      <c r="D28" s="14"/>
      <c r="E28" s="15"/>
      <c r="F28" s="15"/>
      <c r="G28" s="14"/>
      <c r="H28" s="14"/>
      <c r="I28" s="14"/>
      <c r="J28" s="14"/>
      <c r="K28" s="14"/>
      <c r="L28" s="14"/>
      <c r="M28" s="15"/>
      <c r="N28" s="15"/>
      <c r="O28" s="15"/>
      <c r="P28" s="15"/>
      <c r="Q28" s="15"/>
      <c r="R28" s="15"/>
      <c r="S28" s="15"/>
      <c r="T28" s="18">
        <f>IF(C28="Res Space Heat",VLOOKUP(K28,#REF!,4)*G28,IF(C28="Res AC",VLOOKUP(K28,#REF!,6)*G28,IF(C28="Res Lighting",VLOOKUP(K28,#REF!,8)*G28,IF(C28="Res Refrigeration",VLOOKUP(K28,#REF!,10)*G28,IF(C28="Res Water Heating",VLOOKUP(K28,#REF!,12)*G28,IF(C28="Res Dishwasher",VLOOKUP(K28,#REF!,14)*G28,IF(C28="Res Washer Dryer",VLOOKUP(K28,#REF!,16)*G28,IF(C28="Res Misc",VLOOKUP(K28,#REF!,18)*G28,IF(C28="Res Furnace Fan",VLOOKUP(K28,#REF!,20)*G28,IF(C28="NonRes Compressed Air",VLOOKUP(K28,#REF!,22)*G28,IF(C28="NonRes Cooking",VLOOKUP(K28,#REF!,24)*G28,IF(C28="NonRes Space Cooling",VLOOKUP(K28,#REF!,26)*G28,IF(C28="NonRes Exterior Lighting",VLOOKUP(K28,#REF!,28)*G28,IF(C28="NonRes Space Heating",VLOOKUP(K28,#REF!,30)*G28,IF(C28="NonRes Water Heating",VLOOKUP(K28,#REF!,32)*G28,IF(C28="NonRes Interior Lighting",VLOOKUP(K28,#REF!,34)*G28,IF(C28="NonRes Misc",VLOOKUP(K28,#REF!,36)*G28,IF(C28="NonRes Motors",VLOOKUP(K28,#REF!,38)*G28,IF(C28="NonRes Office Equipment",VLOOKUP(K28,#REF!,40)*G28,IF(C28="NonRes Process",VLOOKUP(K28,#REF!,42)*G28,IF(C28="NonRes Refrigeration",VLOOKUP(K28,#REF!,44)*G28,IF(C28="NonRes Ventilation",VLOOKUP(K28,#REF!,46)*G28,0))))))))))))))))))))))</f>
        <v>0</v>
      </c>
      <c r="U28" s="18">
        <f>IF(D28="Annual",VLOOKUP(K28,#REF!,4)*'3.4 - Open'!I28,IF(D28="Winter",VLOOKUP('3.4 - Open'!K28,#REF!,5)*'3.4 - Open'!I28,IF(D28="NA",0,0)))</f>
        <v>0</v>
      </c>
      <c r="V28" s="19" t="e">
        <f t="shared" si="0"/>
        <v>#DIV/0!</v>
      </c>
      <c r="W28" s="19" t="e">
        <f t="shared" si="1"/>
        <v>#DIV/0!</v>
      </c>
      <c r="X28" s="19" t="e">
        <f t="shared" si="2"/>
        <v>#DIV/0!</v>
      </c>
      <c r="Y28" s="19" t="e">
        <f t="shared" si="3"/>
        <v>#DIV/0!</v>
      </c>
      <c r="Z28" s="20" t="e">
        <f>(T28+U28+(PV(#REF!,'3.4 - Open'!K28,'3.4 - Open'!P28)*-1)+'3.4 - Open'!O28)/'3.4 - Open'!E28</f>
        <v>#REF!</v>
      </c>
      <c r="AA28" s="20" t="e">
        <f t="shared" si="13"/>
        <v>#DIV/0!</v>
      </c>
      <c r="AB28" s="21">
        <f t="shared" si="4"/>
        <v>0</v>
      </c>
      <c r="AC28" s="20">
        <f t="shared" si="5"/>
        <v>0</v>
      </c>
      <c r="AD28" s="20">
        <f t="shared" si="6"/>
        <v>0</v>
      </c>
      <c r="AE28" s="20">
        <f t="shared" si="7"/>
        <v>0</v>
      </c>
      <c r="AF28" s="19" t="e">
        <f t="shared" si="8"/>
        <v>#DIV/0!</v>
      </c>
      <c r="AG28" s="19" t="e">
        <f t="shared" si="9"/>
        <v>#DIV/0!</v>
      </c>
      <c r="AH28" s="19" t="e">
        <f t="shared" si="10"/>
        <v>#DIV/0!</v>
      </c>
      <c r="AI28" s="19" t="e">
        <f t="shared" si="11"/>
        <v>#DIV/0!</v>
      </c>
      <c r="AJ28" s="15">
        <f t="shared" si="14"/>
        <v>0</v>
      </c>
      <c r="AK28" s="19" t="e">
        <f t="shared" si="15"/>
        <v>#DIV/0!</v>
      </c>
      <c r="AL28" s="19" t="e">
        <f t="shared" si="16"/>
        <v>#DIV/0!</v>
      </c>
      <c r="AM28" s="19">
        <f t="shared" si="12"/>
        <v>0</v>
      </c>
      <c r="AN28" s="19" t="e">
        <f t="shared" si="17"/>
        <v>#DIV/0!</v>
      </c>
      <c r="AO28" s="19" t="e">
        <f t="shared" si="18"/>
        <v>#DIV/0!</v>
      </c>
      <c r="AP28" s="18" t="e">
        <f>-PV(#REF!,'3.4 - Open'!K28,'3.4 - Open'!P28)*'3.4 - Open'!B28</f>
        <v>#REF!</v>
      </c>
      <c r="AQ28" s="19" t="e">
        <f t="shared" si="19"/>
        <v>#REF!</v>
      </c>
      <c r="AR28" s="19" t="e">
        <f t="shared" si="20"/>
        <v>#REF!</v>
      </c>
      <c r="AS28" s="18" t="e">
        <f>B28*G28*K28*#REF!</f>
        <v>#REF!</v>
      </c>
      <c r="AT28" s="19" t="e">
        <f>B28*I28*K28*#REF!</f>
        <v>#REF!</v>
      </c>
      <c r="AU28" s="24"/>
      <c r="AV28" s="24"/>
      <c r="AW28" s="24"/>
      <c r="AX28" s="24"/>
      <c r="AY28" s="24"/>
    </row>
    <row r="29" spans="1:63" x14ac:dyDescent="0.25">
      <c r="A29" s="14"/>
      <c r="B29" s="14"/>
      <c r="C29" s="14"/>
      <c r="D29" s="14"/>
      <c r="E29" s="15"/>
      <c r="F29" s="15"/>
      <c r="G29" s="14"/>
      <c r="H29" s="14"/>
      <c r="I29" s="14"/>
      <c r="J29" s="14"/>
      <c r="K29" s="14"/>
      <c r="L29" s="14"/>
      <c r="M29" s="15"/>
      <c r="N29" s="15"/>
      <c r="O29" s="15"/>
      <c r="P29" s="15"/>
      <c r="Q29" s="15"/>
      <c r="R29" s="15"/>
      <c r="S29" s="15"/>
      <c r="T29" s="18">
        <f>IF(C29="Res Space Heat",VLOOKUP(K29,#REF!,4)*G29,IF(C29="Res AC",VLOOKUP(K29,#REF!,6)*G29,IF(C29="Res Lighting",VLOOKUP(K29,#REF!,8)*G29,IF(C29="Res Refrigeration",VLOOKUP(K29,#REF!,10)*G29,IF(C29="Res Water Heating",VLOOKUP(K29,#REF!,12)*G29,IF(C29="Res Dishwasher",VLOOKUP(K29,#REF!,14)*G29,IF(C29="Res Washer Dryer",VLOOKUP(K29,#REF!,16)*G29,IF(C29="Res Misc",VLOOKUP(K29,#REF!,18)*G29,IF(C29="Res Furnace Fan",VLOOKUP(K29,#REF!,20)*G29,IF(C29="NonRes Compressed Air",VLOOKUP(K29,#REF!,22)*G29,IF(C29="NonRes Cooking",VLOOKUP(K29,#REF!,24)*G29,IF(C29="NonRes Space Cooling",VLOOKUP(K29,#REF!,26)*G29,IF(C29="NonRes Exterior Lighting",VLOOKUP(K29,#REF!,28)*G29,IF(C29="NonRes Space Heating",VLOOKUP(K29,#REF!,30)*G29,IF(C29="NonRes Water Heating",VLOOKUP(K29,#REF!,32)*G29,IF(C29="NonRes Interior Lighting",VLOOKUP(K29,#REF!,34)*G29,IF(C29="NonRes Misc",VLOOKUP(K29,#REF!,36)*G29,IF(C29="NonRes Motors",VLOOKUP(K29,#REF!,38)*G29,IF(C29="NonRes Office Equipment",VLOOKUP(K29,#REF!,40)*G29,IF(C29="NonRes Process",VLOOKUP(K29,#REF!,42)*G29,IF(C29="NonRes Refrigeration",VLOOKUP(K29,#REF!,44)*G29,IF(C29="NonRes Ventilation",VLOOKUP(K29,#REF!,46)*G29,0))))))))))))))))))))))</f>
        <v>0</v>
      </c>
      <c r="U29" s="18">
        <f>IF(D29="Annual",VLOOKUP(K29,#REF!,4)*'3.4 - Open'!I29,IF(D29="Winter",VLOOKUP('3.4 - Open'!K29,#REF!,5)*'3.4 - Open'!I29,IF(D29="NA",0,0)))</f>
        <v>0</v>
      </c>
      <c r="V29" s="19" t="e">
        <f t="shared" si="0"/>
        <v>#DIV/0!</v>
      </c>
      <c r="W29" s="19" t="e">
        <f t="shared" si="1"/>
        <v>#DIV/0!</v>
      </c>
      <c r="X29" s="19" t="e">
        <f t="shared" si="2"/>
        <v>#DIV/0!</v>
      </c>
      <c r="Y29" s="19" t="e">
        <f t="shared" si="3"/>
        <v>#DIV/0!</v>
      </c>
      <c r="Z29" s="20" t="e">
        <f>(T29+U29+(PV(#REF!,'3.4 - Open'!K29,'3.4 - Open'!P29)*-1)+'3.4 - Open'!O29)/'3.4 - Open'!E29</f>
        <v>#REF!</v>
      </c>
      <c r="AA29" s="20" t="e">
        <f t="shared" si="13"/>
        <v>#DIV/0!</v>
      </c>
      <c r="AB29" s="21">
        <f t="shared" si="4"/>
        <v>0</v>
      </c>
      <c r="AC29" s="20">
        <f t="shared" si="5"/>
        <v>0</v>
      </c>
      <c r="AD29" s="20">
        <f t="shared" si="6"/>
        <v>0</v>
      </c>
      <c r="AE29" s="20">
        <f t="shared" si="7"/>
        <v>0</v>
      </c>
      <c r="AF29" s="19" t="e">
        <f t="shared" si="8"/>
        <v>#DIV/0!</v>
      </c>
      <c r="AG29" s="19" t="e">
        <f t="shared" si="9"/>
        <v>#DIV/0!</v>
      </c>
      <c r="AH29" s="19" t="e">
        <f t="shared" si="10"/>
        <v>#DIV/0!</v>
      </c>
      <c r="AI29" s="19" t="e">
        <f t="shared" si="11"/>
        <v>#DIV/0!</v>
      </c>
      <c r="AJ29" s="15">
        <f t="shared" si="14"/>
        <v>0</v>
      </c>
      <c r="AK29" s="19" t="e">
        <f t="shared" si="15"/>
        <v>#DIV/0!</v>
      </c>
      <c r="AL29" s="19" t="e">
        <f t="shared" si="16"/>
        <v>#DIV/0!</v>
      </c>
      <c r="AM29" s="19">
        <f t="shared" si="12"/>
        <v>0</v>
      </c>
      <c r="AN29" s="19" t="e">
        <f t="shared" si="17"/>
        <v>#DIV/0!</v>
      </c>
      <c r="AO29" s="19" t="e">
        <f t="shared" si="18"/>
        <v>#DIV/0!</v>
      </c>
      <c r="AP29" s="18" t="e">
        <f>-PV(#REF!,'3.4 - Open'!K29,'3.4 - Open'!P29)*'3.4 - Open'!B29</f>
        <v>#REF!</v>
      </c>
      <c r="AQ29" s="19" t="e">
        <f t="shared" si="19"/>
        <v>#REF!</v>
      </c>
      <c r="AR29" s="19" t="e">
        <f t="shared" si="20"/>
        <v>#REF!</v>
      </c>
      <c r="AS29" s="18" t="e">
        <f>B29*G29*K29*#REF!</f>
        <v>#REF!</v>
      </c>
      <c r="AT29" s="19" t="e">
        <f>B29*I29*K29*#REF!</f>
        <v>#REF!</v>
      </c>
      <c r="AU29" s="24"/>
      <c r="AV29" s="24"/>
      <c r="AW29" s="24"/>
      <c r="AX29" s="24"/>
      <c r="AY29" s="24"/>
    </row>
    <row r="30" spans="1:63" x14ac:dyDescent="0.25">
      <c r="A30" s="14"/>
      <c r="B30" s="14"/>
      <c r="C30" s="14"/>
      <c r="D30" s="14"/>
      <c r="E30" s="15"/>
      <c r="F30" s="15"/>
      <c r="G30" s="14"/>
      <c r="H30" s="14"/>
      <c r="I30" s="14"/>
      <c r="J30" s="14"/>
      <c r="K30" s="14"/>
      <c r="L30" s="14"/>
      <c r="M30" s="15"/>
      <c r="N30" s="15"/>
      <c r="O30" s="15"/>
      <c r="P30" s="15"/>
      <c r="Q30" s="15"/>
      <c r="R30" s="15"/>
      <c r="S30" s="15"/>
      <c r="T30" s="18">
        <f>IF(C30="Res Space Heat",VLOOKUP(K30,#REF!,4)*G30,IF(C30="Res AC",VLOOKUP(K30,#REF!,6)*G30,IF(C30="Res Lighting",VLOOKUP(K30,#REF!,8)*G30,IF(C30="Res Refrigeration",VLOOKUP(K30,#REF!,10)*G30,IF(C30="Res Water Heating",VLOOKUP(K30,#REF!,12)*G30,IF(C30="Res Dishwasher",VLOOKUP(K30,#REF!,14)*G30,IF(C30="Res Washer Dryer",VLOOKUP(K30,#REF!,16)*G30,IF(C30="Res Misc",VLOOKUP(K30,#REF!,18)*G30,IF(C30="Res Furnace Fan",VLOOKUP(K30,#REF!,20)*G30,IF(C30="NonRes Compressed Air",VLOOKUP(K30,#REF!,22)*G30,IF(C30="NonRes Cooking",VLOOKUP(K30,#REF!,24)*G30,IF(C30="NonRes Space Cooling",VLOOKUP(K30,#REF!,26)*G30,IF(C30="NonRes Exterior Lighting",VLOOKUP(K30,#REF!,28)*G30,IF(C30="NonRes Space Heating",VLOOKUP(K30,#REF!,30)*G30,IF(C30="NonRes Water Heating",VLOOKUP(K30,#REF!,32)*G30,IF(C30="NonRes Interior Lighting",VLOOKUP(K30,#REF!,34)*G30,IF(C30="NonRes Misc",VLOOKUP(K30,#REF!,36)*G30,IF(C30="NonRes Motors",VLOOKUP(K30,#REF!,38)*G30,IF(C30="NonRes Office Equipment",VLOOKUP(K30,#REF!,40)*G30,IF(C30="NonRes Process",VLOOKUP(K30,#REF!,42)*G30,IF(C30="NonRes Refrigeration",VLOOKUP(K30,#REF!,44)*G30,IF(C30="NonRes Ventilation",VLOOKUP(K30,#REF!,46)*G30,0))))))))))))))))))))))</f>
        <v>0</v>
      </c>
      <c r="U30" s="18">
        <f>IF(D30="Annual",VLOOKUP(K30,#REF!,4)*'3.4 - Open'!I30,IF(D30="Winter",VLOOKUP('3.4 - Open'!K30,#REF!,5)*'3.4 - Open'!I30,IF(D30="NA",0,0)))</f>
        <v>0</v>
      </c>
      <c r="V30" s="19" t="e">
        <f t="shared" si="0"/>
        <v>#DIV/0!</v>
      </c>
      <c r="W30" s="19" t="e">
        <f t="shared" si="1"/>
        <v>#DIV/0!</v>
      </c>
      <c r="X30" s="19" t="e">
        <f t="shared" si="2"/>
        <v>#DIV/0!</v>
      </c>
      <c r="Y30" s="19" t="e">
        <f t="shared" si="3"/>
        <v>#DIV/0!</v>
      </c>
      <c r="Z30" s="20" t="e">
        <f>(T30+U30+(PV(#REF!,'3.4 - Open'!K30,'3.4 - Open'!P30)*-1)+'3.4 - Open'!O30)/'3.4 - Open'!E30</f>
        <v>#REF!</v>
      </c>
      <c r="AA30" s="20" t="e">
        <f t="shared" si="13"/>
        <v>#DIV/0!</v>
      </c>
      <c r="AB30" s="21">
        <f t="shared" si="4"/>
        <v>0</v>
      </c>
      <c r="AC30" s="20">
        <f t="shared" si="5"/>
        <v>0</v>
      </c>
      <c r="AD30" s="20">
        <f t="shared" si="6"/>
        <v>0</v>
      </c>
      <c r="AE30" s="20">
        <f t="shared" si="7"/>
        <v>0</v>
      </c>
      <c r="AF30" s="19" t="e">
        <f t="shared" si="8"/>
        <v>#DIV/0!</v>
      </c>
      <c r="AG30" s="19" t="e">
        <f t="shared" si="9"/>
        <v>#DIV/0!</v>
      </c>
      <c r="AH30" s="19" t="e">
        <f t="shared" si="10"/>
        <v>#DIV/0!</v>
      </c>
      <c r="AI30" s="19" t="e">
        <f t="shared" si="11"/>
        <v>#DIV/0!</v>
      </c>
      <c r="AJ30" s="15">
        <f t="shared" si="14"/>
        <v>0</v>
      </c>
      <c r="AK30" s="19" t="e">
        <f t="shared" si="15"/>
        <v>#DIV/0!</v>
      </c>
      <c r="AL30" s="19" t="e">
        <f t="shared" si="16"/>
        <v>#DIV/0!</v>
      </c>
      <c r="AM30" s="19">
        <f t="shared" si="12"/>
        <v>0</v>
      </c>
      <c r="AN30" s="19" t="e">
        <f t="shared" si="17"/>
        <v>#DIV/0!</v>
      </c>
      <c r="AO30" s="19" t="e">
        <f t="shared" si="18"/>
        <v>#DIV/0!</v>
      </c>
      <c r="AP30" s="18" t="e">
        <f>-PV(#REF!,'3.4 - Open'!K30,'3.4 - Open'!P30)*'3.4 - Open'!B30</f>
        <v>#REF!</v>
      </c>
      <c r="AQ30" s="19" t="e">
        <f t="shared" si="19"/>
        <v>#REF!</v>
      </c>
      <c r="AR30" s="19" t="e">
        <f t="shared" si="20"/>
        <v>#REF!</v>
      </c>
      <c r="AS30" s="18" t="e">
        <f>B30*G30*K30*#REF!</f>
        <v>#REF!</v>
      </c>
      <c r="AT30" s="19" t="e">
        <f>B30*I30*K30*#REF!</f>
        <v>#REF!</v>
      </c>
      <c r="AU30" s="24"/>
      <c r="AV30" s="24"/>
      <c r="AW30" s="24"/>
      <c r="AX30" s="24"/>
      <c r="AY30" s="24"/>
    </row>
    <row r="31" spans="1:63" x14ac:dyDescent="0.25">
      <c r="A31" s="14"/>
      <c r="B31" s="14"/>
      <c r="C31" s="14"/>
      <c r="D31" s="14"/>
      <c r="E31" s="15"/>
      <c r="F31" s="15"/>
      <c r="G31" s="75"/>
      <c r="H31" s="75"/>
      <c r="I31" s="14"/>
      <c r="J31" s="14"/>
      <c r="K31" s="14"/>
      <c r="L31" s="14"/>
      <c r="M31" s="15"/>
      <c r="N31" s="15"/>
      <c r="O31" s="15"/>
      <c r="P31" s="15"/>
      <c r="Q31" s="15"/>
      <c r="R31" s="15"/>
      <c r="S31" s="15"/>
      <c r="T31" s="18">
        <f>IF(C31="Res Space Heat",VLOOKUP(K31,#REF!,4)*G31,IF(C31="Res AC",VLOOKUP(K31,#REF!,6)*G31,IF(C31="Res Lighting",VLOOKUP(K31,#REF!,8)*G31,IF(C31="Res Refrigeration",VLOOKUP(K31,#REF!,10)*G31,IF(C31="Res Water Heating",VLOOKUP(K31,#REF!,12)*G31,IF(C31="Res Dishwasher",VLOOKUP(K31,#REF!,14)*G31,IF(C31="Res Washer Dryer",VLOOKUP(K31,#REF!,16)*G31,IF(C31="Res Misc",VLOOKUP(K31,#REF!,18)*G31,IF(C31="Res Furnace Fan",VLOOKUP(K31,#REF!,20)*G31,IF(C31="NonRes Compressed Air",VLOOKUP(K31,#REF!,22)*G31,IF(C31="NonRes Cooking",VLOOKUP(K31,#REF!,24)*G31,IF(C31="NonRes Space Cooling",VLOOKUP(K31,#REF!,26)*G31,IF(C31="NonRes Exterior Lighting",VLOOKUP(K31,#REF!,28)*G31,IF(C31="NonRes Space Heating",VLOOKUP(K31,#REF!,30)*G31,IF(C31="NonRes Water Heating",VLOOKUP(K31,#REF!,32)*G31,IF(C31="NonRes Interior Lighting",VLOOKUP(K31,#REF!,34)*G31,IF(C31="NonRes Misc",VLOOKUP(K31,#REF!,36)*G31,IF(C31="NonRes Motors",VLOOKUP(K31,#REF!,38)*G31,IF(C31="NonRes Office Equipment",VLOOKUP(K31,#REF!,40)*G31,IF(C31="NonRes Process",VLOOKUP(K31,#REF!,42)*G31,IF(C31="NonRes Refrigeration",VLOOKUP(K31,#REF!,44)*G31,IF(C31="NonRes Ventilation",VLOOKUP(K31,#REF!,46)*G31,0))))))))))))))))))))))</f>
        <v>0</v>
      </c>
      <c r="U31" s="18">
        <f>IF(D31="Annual",VLOOKUP(K31,#REF!,4)*'3.4 - Open'!I31,IF(D31="Winter",VLOOKUP('3.4 - Open'!K31,#REF!,5)*'3.4 - Open'!I31,IF(D31="NA",0,0)))</f>
        <v>0</v>
      </c>
      <c r="V31" s="19" t="e">
        <f t="shared" si="0"/>
        <v>#DIV/0!</v>
      </c>
      <c r="W31" s="19" t="e">
        <f t="shared" si="1"/>
        <v>#DIV/0!</v>
      </c>
      <c r="X31" s="19" t="e">
        <f t="shared" si="2"/>
        <v>#DIV/0!</v>
      </c>
      <c r="Y31" s="19" t="e">
        <f t="shared" si="3"/>
        <v>#DIV/0!</v>
      </c>
      <c r="Z31" s="20" t="e">
        <f>(T31+U31+(PV(#REF!,'3.4 - Open'!K31,'3.4 - Open'!P31)*-1)+'3.4 - Open'!O31)/'3.4 - Open'!E31</f>
        <v>#REF!</v>
      </c>
      <c r="AA31" s="20" t="e">
        <f t="shared" si="13"/>
        <v>#DIV/0!</v>
      </c>
      <c r="AB31" s="21">
        <f t="shared" si="4"/>
        <v>0</v>
      </c>
      <c r="AC31" s="20">
        <f t="shared" si="5"/>
        <v>0</v>
      </c>
      <c r="AD31" s="20">
        <f t="shared" si="6"/>
        <v>0</v>
      </c>
      <c r="AE31" s="20">
        <f t="shared" si="7"/>
        <v>0</v>
      </c>
      <c r="AF31" s="19" t="e">
        <f t="shared" si="8"/>
        <v>#DIV/0!</v>
      </c>
      <c r="AG31" s="19" t="e">
        <f t="shared" si="9"/>
        <v>#DIV/0!</v>
      </c>
      <c r="AH31" s="19" t="e">
        <f t="shared" si="10"/>
        <v>#DIV/0!</v>
      </c>
      <c r="AI31" s="19" t="e">
        <f t="shared" si="11"/>
        <v>#DIV/0!</v>
      </c>
      <c r="AJ31" s="15">
        <f t="shared" si="14"/>
        <v>0</v>
      </c>
      <c r="AK31" s="19" t="e">
        <f t="shared" si="15"/>
        <v>#DIV/0!</v>
      </c>
      <c r="AL31" s="19" t="e">
        <f t="shared" si="16"/>
        <v>#DIV/0!</v>
      </c>
      <c r="AM31" s="19">
        <f t="shared" si="12"/>
        <v>0</v>
      </c>
      <c r="AN31" s="19" t="e">
        <f t="shared" si="17"/>
        <v>#DIV/0!</v>
      </c>
      <c r="AO31" s="19" t="e">
        <f t="shared" si="18"/>
        <v>#DIV/0!</v>
      </c>
      <c r="AP31" s="18" t="e">
        <f>-PV(#REF!,'3.4 - Open'!K31,'3.4 - Open'!P31)*'3.4 - Open'!B31</f>
        <v>#REF!</v>
      </c>
      <c r="AQ31" s="19" t="e">
        <f t="shared" si="19"/>
        <v>#REF!</v>
      </c>
      <c r="AR31" s="19" t="e">
        <f t="shared" si="20"/>
        <v>#REF!</v>
      </c>
      <c r="AS31" s="18" t="e">
        <f>B31*G31*K31*#REF!</f>
        <v>#REF!</v>
      </c>
      <c r="AT31" s="19" t="e">
        <f>B31*I31*K31*#REF!</f>
        <v>#REF!</v>
      </c>
      <c r="AU31" s="24"/>
      <c r="AV31" s="24"/>
      <c r="AW31" s="24"/>
      <c r="AX31" s="24"/>
      <c r="AY31" s="24"/>
    </row>
    <row r="32" spans="1:63" x14ac:dyDescent="0.25">
      <c r="A32" s="14"/>
      <c r="B32" s="14"/>
      <c r="C32" s="14"/>
      <c r="D32" s="14"/>
      <c r="E32" s="15"/>
      <c r="F32" s="15"/>
      <c r="G32" s="75"/>
      <c r="H32" s="75"/>
      <c r="I32" s="14"/>
      <c r="J32" s="14"/>
      <c r="K32" s="14"/>
      <c r="L32" s="14"/>
      <c r="M32" s="15"/>
      <c r="N32" s="15"/>
      <c r="O32" s="15"/>
      <c r="P32" s="15"/>
      <c r="Q32" s="15"/>
      <c r="R32" s="15"/>
      <c r="S32" s="15"/>
      <c r="T32" s="18">
        <f>IF(C32="Res Space Heat",VLOOKUP(K32,#REF!,4)*G32,IF(C32="Res AC",VLOOKUP(K32,#REF!,6)*G32,IF(C32="Res Lighting",VLOOKUP(K32,#REF!,8)*G32,IF(C32="Res Refrigeration",VLOOKUP(K32,#REF!,10)*G32,IF(C32="Res Water Heating",VLOOKUP(K32,#REF!,12)*G32,IF(C32="Res Dishwasher",VLOOKUP(K32,#REF!,14)*G32,IF(C32="Res Washer Dryer",VLOOKUP(K32,#REF!,16)*G32,IF(C32="Res Misc",VLOOKUP(K32,#REF!,18)*G32,IF(C32="Res Furnace Fan",VLOOKUP(K32,#REF!,20)*G32,IF(C32="NonRes Compressed Air",VLOOKUP(K32,#REF!,22)*G32,IF(C32="NonRes Cooking",VLOOKUP(K32,#REF!,24)*G32,IF(C32="NonRes Space Cooling",VLOOKUP(K32,#REF!,26)*G32,IF(C32="NonRes Exterior Lighting",VLOOKUP(K32,#REF!,28)*G32,IF(C32="NonRes Space Heating",VLOOKUP(K32,#REF!,30)*G32,IF(C32="NonRes Water Heating",VLOOKUP(K32,#REF!,32)*G32,IF(C32="NonRes Interior Lighting",VLOOKUP(K32,#REF!,34)*G32,IF(C32="NonRes Misc",VLOOKUP(K32,#REF!,36)*G32,IF(C32="NonRes Motors",VLOOKUP(K32,#REF!,38)*G32,IF(C32="NonRes Office Equipment",VLOOKUP(K32,#REF!,40)*G32,IF(C32="NonRes Process",VLOOKUP(K32,#REF!,42)*G32,IF(C32="NonRes Refrigeration",VLOOKUP(K32,#REF!,44)*G32,IF(C32="NonRes Ventilation",VLOOKUP(K32,#REF!,46)*G32,0))))))))))))))))))))))</f>
        <v>0</v>
      </c>
      <c r="U32" s="18">
        <f>IF(D32="Annual",VLOOKUP(K32,#REF!,4)*'3.4 - Open'!I32,IF(D32="Winter",VLOOKUP('3.4 - Open'!K32,#REF!,5)*'3.4 - Open'!I32,IF(D32="NA",0,0)))</f>
        <v>0</v>
      </c>
      <c r="V32" s="19" t="e">
        <f t="shared" si="0"/>
        <v>#DIV/0!</v>
      </c>
      <c r="W32" s="19" t="e">
        <f t="shared" si="1"/>
        <v>#DIV/0!</v>
      </c>
      <c r="X32" s="19" t="e">
        <f t="shared" si="2"/>
        <v>#DIV/0!</v>
      </c>
      <c r="Y32" s="19" t="e">
        <f t="shared" si="3"/>
        <v>#DIV/0!</v>
      </c>
      <c r="Z32" s="20" t="e">
        <f>(T32+U32+(PV(#REF!,'3.4 - Open'!K32,'3.4 - Open'!P32)*-1)+'3.4 - Open'!O32)/'3.4 - Open'!E32</f>
        <v>#REF!</v>
      </c>
      <c r="AA32" s="20" t="e">
        <f t="shared" si="13"/>
        <v>#DIV/0!</v>
      </c>
      <c r="AB32" s="21">
        <f t="shared" si="4"/>
        <v>0</v>
      </c>
      <c r="AC32" s="20">
        <f t="shared" si="5"/>
        <v>0</v>
      </c>
      <c r="AD32" s="20">
        <f t="shared" si="6"/>
        <v>0</v>
      </c>
      <c r="AE32" s="20">
        <f t="shared" si="7"/>
        <v>0</v>
      </c>
      <c r="AF32" s="19" t="e">
        <f t="shared" si="8"/>
        <v>#DIV/0!</v>
      </c>
      <c r="AG32" s="19" t="e">
        <f t="shared" si="9"/>
        <v>#DIV/0!</v>
      </c>
      <c r="AH32" s="19" t="e">
        <f t="shared" si="10"/>
        <v>#DIV/0!</v>
      </c>
      <c r="AI32" s="19" t="e">
        <f t="shared" si="11"/>
        <v>#DIV/0!</v>
      </c>
      <c r="AJ32" s="15">
        <f t="shared" si="14"/>
        <v>0</v>
      </c>
      <c r="AK32" s="19" t="e">
        <f t="shared" si="15"/>
        <v>#DIV/0!</v>
      </c>
      <c r="AL32" s="19" t="e">
        <f t="shared" si="16"/>
        <v>#DIV/0!</v>
      </c>
      <c r="AM32" s="19">
        <f t="shared" si="12"/>
        <v>0</v>
      </c>
      <c r="AN32" s="19" t="e">
        <f t="shared" si="17"/>
        <v>#DIV/0!</v>
      </c>
      <c r="AO32" s="19" t="e">
        <f t="shared" si="18"/>
        <v>#DIV/0!</v>
      </c>
      <c r="AP32" s="18" t="e">
        <f>-PV(#REF!,'3.4 - Open'!K32,'3.4 - Open'!P32)*'3.4 - Open'!B32</f>
        <v>#REF!</v>
      </c>
      <c r="AQ32" s="19" t="e">
        <f t="shared" si="19"/>
        <v>#REF!</v>
      </c>
      <c r="AR32" s="19" t="e">
        <f t="shared" si="20"/>
        <v>#REF!</v>
      </c>
      <c r="AS32" s="18" t="e">
        <f>B32*G32*K32*#REF!</f>
        <v>#REF!</v>
      </c>
      <c r="AT32" s="19" t="e">
        <f>B32*I32*K32*#REF!</f>
        <v>#REF!</v>
      </c>
      <c r="AU32" s="24"/>
      <c r="AV32" s="24"/>
      <c r="AW32" s="24"/>
      <c r="AX32" s="24"/>
      <c r="AY32" s="24"/>
    </row>
    <row r="33" spans="1:51" x14ac:dyDescent="0.25">
      <c r="A33" s="14"/>
      <c r="B33" s="14"/>
      <c r="C33" s="14"/>
      <c r="D33" s="14"/>
      <c r="E33" s="15"/>
      <c r="F33" s="15"/>
      <c r="G33" s="75"/>
      <c r="H33" s="75"/>
      <c r="I33" s="14"/>
      <c r="J33" s="14"/>
      <c r="K33" s="14"/>
      <c r="L33" s="14"/>
      <c r="M33" s="15"/>
      <c r="N33" s="15"/>
      <c r="O33" s="15"/>
      <c r="P33" s="15"/>
      <c r="Q33" s="15"/>
      <c r="R33" s="15"/>
      <c r="S33" s="15"/>
      <c r="T33" s="18">
        <f>IF(C33="Res Space Heat",VLOOKUP(K33,#REF!,4)*G33,IF(C33="Res AC",VLOOKUP(K33,#REF!,6)*G33,IF(C33="Res Lighting",VLOOKUP(K33,#REF!,8)*G33,IF(C33="Res Refrigeration",VLOOKUP(K33,#REF!,10)*G33,IF(C33="Res Water Heating",VLOOKUP(K33,#REF!,12)*G33,IF(C33="Res Dishwasher",VLOOKUP(K33,#REF!,14)*G33,IF(C33="Res Washer Dryer",VLOOKUP(K33,#REF!,16)*G33,IF(C33="Res Misc",VLOOKUP(K33,#REF!,18)*G33,IF(C33="Res Furnace Fan",VLOOKUP(K33,#REF!,20)*G33,IF(C33="NonRes Compressed Air",VLOOKUP(K33,#REF!,22)*G33,IF(C33="NonRes Cooking",VLOOKUP(K33,#REF!,24)*G33,IF(C33="NonRes Space Cooling",VLOOKUP(K33,#REF!,26)*G33,IF(C33="NonRes Exterior Lighting",VLOOKUP(K33,#REF!,28)*G33,IF(C33="NonRes Space Heating",VLOOKUP(K33,#REF!,30)*G33,IF(C33="NonRes Water Heating",VLOOKUP(K33,#REF!,32)*G33,IF(C33="NonRes Interior Lighting",VLOOKUP(K33,#REF!,34)*G33,IF(C33="NonRes Misc",VLOOKUP(K33,#REF!,36)*G33,IF(C33="NonRes Motors",VLOOKUP(K33,#REF!,38)*G33,IF(C33="NonRes Office Equipment",VLOOKUP(K33,#REF!,40)*G33,IF(C33="NonRes Process",VLOOKUP(K33,#REF!,42)*G33,IF(C33="NonRes Refrigeration",VLOOKUP(K33,#REF!,44)*G33,IF(C33="NonRes Ventilation",VLOOKUP(K33,#REF!,46)*G33,0))))))))))))))))))))))</f>
        <v>0</v>
      </c>
      <c r="U33" s="18">
        <f>IF(D33="Annual",VLOOKUP(K33,#REF!,4)*'3.4 - Open'!I33,IF(D33="Winter",VLOOKUP('3.4 - Open'!K33,#REF!,5)*'3.4 - Open'!I33,IF(D33="NA",0,0)))</f>
        <v>0</v>
      </c>
      <c r="V33" s="19" t="e">
        <f t="shared" si="0"/>
        <v>#DIV/0!</v>
      </c>
      <c r="W33" s="19" t="e">
        <f t="shared" si="1"/>
        <v>#DIV/0!</v>
      </c>
      <c r="X33" s="19" t="e">
        <f t="shared" si="2"/>
        <v>#DIV/0!</v>
      </c>
      <c r="Y33" s="19" t="e">
        <f t="shared" si="3"/>
        <v>#DIV/0!</v>
      </c>
      <c r="Z33" s="20" t="e">
        <f>(T33+U33+(PV(#REF!,'3.4 - Open'!K33,'3.4 - Open'!P33)*-1)+'3.4 - Open'!O33)/'3.4 - Open'!E33</f>
        <v>#REF!</v>
      </c>
      <c r="AA33" s="20" t="e">
        <f t="shared" si="13"/>
        <v>#DIV/0!</v>
      </c>
      <c r="AB33" s="21">
        <f t="shared" si="4"/>
        <v>0</v>
      </c>
      <c r="AC33" s="20">
        <f t="shared" si="5"/>
        <v>0</v>
      </c>
      <c r="AD33" s="20">
        <f t="shared" si="6"/>
        <v>0</v>
      </c>
      <c r="AE33" s="20">
        <f t="shared" si="7"/>
        <v>0</v>
      </c>
      <c r="AF33" s="19" t="e">
        <f t="shared" si="8"/>
        <v>#DIV/0!</v>
      </c>
      <c r="AG33" s="19" t="e">
        <f t="shared" si="9"/>
        <v>#DIV/0!</v>
      </c>
      <c r="AH33" s="19" t="e">
        <f t="shared" si="10"/>
        <v>#DIV/0!</v>
      </c>
      <c r="AI33" s="19" t="e">
        <f t="shared" si="11"/>
        <v>#DIV/0!</v>
      </c>
      <c r="AJ33" s="15">
        <f t="shared" si="14"/>
        <v>0</v>
      </c>
      <c r="AK33" s="19" t="e">
        <f t="shared" si="15"/>
        <v>#DIV/0!</v>
      </c>
      <c r="AL33" s="19" t="e">
        <f t="shared" si="16"/>
        <v>#DIV/0!</v>
      </c>
      <c r="AM33" s="19">
        <f t="shared" si="12"/>
        <v>0</v>
      </c>
      <c r="AN33" s="19" t="e">
        <f t="shared" si="17"/>
        <v>#DIV/0!</v>
      </c>
      <c r="AO33" s="19" t="e">
        <f t="shared" si="18"/>
        <v>#DIV/0!</v>
      </c>
      <c r="AP33" s="18" t="e">
        <f>-PV(#REF!,'3.4 - Open'!K33,'3.4 - Open'!P33)*'3.4 - Open'!B33</f>
        <v>#REF!</v>
      </c>
      <c r="AQ33" s="19" t="e">
        <f t="shared" si="19"/>
        <v>#REF!</v>
      </c>
      <c r="AR33" s="19" t="e">
        <f t="shared" si="20"/>
        <v>#REF!</v>
      </c>
      <c r="AS33" s="18" t="e">
        <f>B33*G33*K33*#REF!</f>
        <v>#REF!</v>
      </c>
      <c r="AT33" s="19" t="e">
        <f>B33*I33*K33*#REF!</f>
        <v>#REF!</v>
      </c>
      <c r="AU33" s="24"/>
      <c r="AV33" s="24"/>
      <c r="AW33" s="24"/>
      <c r="AX33" s="24"/>
      <c r="AY33" s="24"/>
    </row>
    <row r="34" spans="1:51" x14ac:dyDescent="0.25">
      <c r="A34" s="14"/>
      <c r="B34" s="14"/>
      <c r="C34" s="14"/>
      <c r="D34" s="14"/>
      <c r="E34" s="15"/>
      <c r="F34" s="15"/>
      <c r="G34" s="75"/>
      <c r="H34" s="75"/>
      <c r="I34" s="14"/>
      <c r="J34" s="14"/>
      <c r="K34" s="14"/>
      <c r="L34" s="14"/>
      <c r="M34" s="15"/>
      <c r="N34" s="15"/>
      <c r="O34" s="15"/>
      <c r="P34" s="15"/>
      <c r="Q34" s="15"/>
      <c r="R34" s="15"/>
      <c r="S34" s="15"/>
      <c r="T34" s="18">
        <f>IF(C34="Res Space Heat",VLOOKUP(K34,#REF!,4)*G34,IF(C34="Res AC",VLOOKUP(K34,#REF!,6)*G34,IF(C34="Res Lighting",VLOOKUP(K34,#REF!,8)*G34,IF(C34="Res Refrigeration",VLOOKUP(K34,#REF!,10)*G34,IF(C34="Res Water Heating",VLOOKUP(K34,#REF!,12)*G34,IF(C34="Res Dishwasher",VLOOKUP(K34,#REF!,14)*G34,IF(C34="Res Washer Dryer",VLOOKUP(K34,#REF!,16)*G34,IF(C34="Res Misc",VLOOKUP(K34,#REF!,18)*G34,IF(C34="Res Furnace Fan",VLOOKUP(K34,#REF!,20)*G34,IF(C34="NonRes Compressed Air",VLOOKUP(K34,#REF!,22)*G34,IF(C34="NonRes Cooking",VLOOKUP(K34,#REF!,24)*G34,IF(C34="NonRes Space Cooling",VLOOKUP(K34,#REF!,26)*G34,IF(C34="NonRes Exterior Lighting",VLOOKUP(K34,#REF!,28)*G34,IF(C34="NonRes Space Heating",VLOOKUP(K34,#REF!,30)*G34,IF(C34="NonRes Water Heating",VLOOKUP(K34,#REF!,32)*G34,IF(C34="NonRes Interior Lighting",VLOOKUP(K34,#REF!,34)*G34,IF(C34="NonRes Misc",VLOOKUP(K34,#REF!,36)*G34,IF(C34="NonRes Motors",VLOOKUP(K34,#REF!,38)*G34,IF(C34="NonRes Office Equipment",VLOOKUP(K34,#REF!,40)*G34,IF(C34="NonRes Process",VLOOKUP(K34,#REF!,42)*G34,IF(C34="NonRes Refrigeration",VLOOKUP(K34,#REF!,44)*G34,IF(C34="NonRes Ventilation",VLOOKUP(K34,#REF!,46)*G34,0))))))))))))))))))))))</f>
        <v>0</v>
      </c>
      <c r="U34" s="18">
        <f>IF(D34="Annual",VLOOKUP(K34,#REF!,4)*'3.4 - Open'!I34,IF(D34="Winter",VLOOKUP('3.4 - Open'!K34,#REF!,5)*'3.4 - Open'!I34,IF(D34="NA",0,0)))</f>
        <v>0</v>
      </c>
      <c r="V34" s="19" t="e">
        <f t="shared" si="0"/>
        <v>#DIV/0!</v>
      </c>
      <c r="W34" s="19" t="e">
        <f t="shared" si="1"/>
        <v>#DIV/0!</v>
      </c>
      <c r="X34" s="19" t="e">
        <f t="shared" si="2"/>
        <v>#DIV/0!</v>
      </c>
      <c r="Y34" s="19" t="e">
        <f t="shared" si="3"/>
        <v>#DIV/0!</v>
      </c>
      <c r="Z34" s="20" t="e">
        <f>(T34+U34+(PV(#REF!,'3.4 - Open'!K34,'3.4 - Open'!P34)*-1)+'3.4 - Open'!O34)/'3.4 - Open'!E34</f>
        <v>#REF!</v>
      </c>
      <c r="AA34" s="20" t="e">
        <f t="shared" si="13"/>
        <v>#DIV/0!</v>
      </c>
      <c r="AB34" s="21">
        <f t="shared" si="4"/>
        <v>0</v>
      </c>
      <c r="AC34" s="20">
        <f t="shared" si="5"/>
        <v>0</v>
      </c>
      <c r="AD34" s="20">
        <f t="shared" si="6"/>
        <v>0</v>
      </c>
      <c r="AE34" s="20">
        <f t="shared" si="7"/>
        <v>0</v>
      </c>
      <c r="AF34" s="19" t="e">
        <f t="shared" si="8"/>
        <v>#DIV/0!</v>
      </c>
      <c r="AG34" s="19" t="e">
        <f t="shared" si="9"/>
        <v>#DIV/0!</v>
      </c>
      <c r="AH34" s="19" t="e">
        <f t="shared" si="10"/>
        <v>#DIV/0!</v>
      </c>
      <c r="AI34" s="19" t="e">
        <f t="shared" si="11"/>
        <v>#DIV/0!</v>
      </c>
      <c r="AJ34" s="15">
        <f t="shared" si="14"/>
        <v>0</v>
      </c>
      <c r="AK34" s="19" t="e">
        <f t="shared" si="15"/>
        <v>#DIV/0!</v>
      </c>
      <c r="AL34" s="19" t="e">
        <f t="shared" si="16"/>
        <v>#DIV/0!</v>
      </c>
      <c r="AM34" s="19">
        <f t="shared" si="12"/>
        <v>0</v>
      </c>
      <c r="AN34" s="19" t="e">
        <f t="shared" si="17"/>
        <v>#DIV/0!</v>
      </c>
      <c r="AO34" s="19" t="e">
        <f t="shared" si="18"/>
        <v>#DIV/0!</v>
      </c>
      <c r="AP34" s="18" t="e">
        <f>-PV(#REF!,'3.4 - Open'!K34,'3.4 - Open'!P34)*'3.4 - Open'!B34</f>
        <v>#REF!</v>
      </c>
      <c r="AQ34" s="19" t="e">
        <f t="shared" si="19"/>
        <v>#REF!</v>
      </c>
      <c r="AR34" s="19" t="e">
        <f t="shared" si="20"/>
        <v>#REF!</v>
      </c>
      <c r="AS34" s="18" t="e">
        <f>B34*G34*K34*#REF!</f>
        <v>#REF!</v>
      </c>
      <c r="AT34" s="19" t="e">
        <f>B34*I34*K34*#REF!</f>
        <v>#REF!</v>
      </c>
      <c r="AU34" s="24"/>
      <c r="AV34" s="24"/>
      <c r="AW34" s="24"/>
      <c r="AX34" s="24"/>
      <c r="AY34" s="24"/>
    </row>
    <row r="35" spans="1:51" x14ac:dyDescent="0.25">
      <c r="A35" s="14"/>
      <c r="B35" s="14"/>
      <c r="C35" s="14"/>
      <c r="D35" s="14"/>
      <c r="E35" s="15"/>
      <c r="F35" s="15"/>
      <c r="G35" s="75"/>
      <c r="H35" s="75"/>
      <c r="I35" s="14"/>
      <c r="J35" s="14"/>
      <c r="K35" s="14"/>
      <c r="L35" s="14"/>
      <c r="M35" s="15"/>
      <c r="N35" s="15"/>
      <c r="O35" s="15"/>
      <c r="P35" s="15"/>
      <c r="Q35" s="15"/>
      <c r="R35" s="15"/>
      <c r="S35" s="15"/>
      <c r="T35" s="18">
        <f>IF(C35="Res Space Heat",VLOOKUP(K35,#REF!,4)*G35,IF(C35="Res AC",VLOOKUP(K35,#REF!,6)*G35,IF(C35="Res Lighting",VLOOKUP(K35,#REF!,8)*G35,IF(C35="Res Refrigeration",VLOOKUP(K35,#REF!,10)*G35,IF(C35="Res Water Heating",VLOOKUP(K35,#REF!,12)*G35,IF(C35="Res Dishwasher",VLOOKUP(K35,#REF!,14)*G35,IF(C35="Res Washer Dryer",VLOOKUP(K35,#REF!,16)*G35,IF(C35="Res Misc",VLOOKUP(K35,#REF!,18)*G35,IF(C35="Res Furnace Fan",VLOOKUP(K35,#REF!,20)*G35,IF(C35="NonRes Compressed Air",VLOOKUP(K35,#REF!,22)*G35,IF(C35="NonRes Cooking",VLOOKUP(K35,#REF!,24)*G35,IF(C35="NonRes Space Cooling",VLOOKUP(K35,#REF!,26)*G35,IF(C35="NonRes Exterior Lighting",VLOOKUP(K35,#REF!,28)*G35,IF(C35="NonRes Space Heating",VLOOKUP(K35,#REF!,30)*G35,IF(C35="NonRes Water Heating",VLOOKUP(K35,#REF!,32)*G35,IF(C35="NonRes Interior Lighting",VLOOKUP(K35,#REF!,34)*G35,IF(C35="NonRes Misc",VLOOKUP(K35,#REF!,36)*G35,IF(C35="NonRes Motors",VLOOKUP(K35,#REF!,38)*G35,IF(C35="NonRes Office Equipment",VLOOKUP(K35,#REF!,40)*G35,IF(C35="NonRes Process",VLOOKUP(K35,#REF!,42)*G35,IF(C35="NonRes Refrigeration",VLOOKUP(K35,#REF!,44)*G35,IF(C35="NonRes Ventilation",VLOOKUP(K35,#REF!,46)*G35,0))))))))))))))))))))))</f>
        <v>0</v>
      </c>
      <c r="U35" s="18">
        <f>IF(D35="Annual",VLOOKUP(K35,#REF!,4)*'3.4 - Open'!I35,IF(D35="Winter",VLOOKUP('3.4 - Open'!K35,#REF!,5)*'3.4 - Open'!I35,IF(D35="NA",0,0)))</f>
        <v>0</v>
      </c>
      <c r="V35" s="19" t="e">
        <f t="shared" si="0"/>
        <v>#DIV/0!</v>
      </c>
      <c r="W35" s="19" t="e">
        <f t="shared" si="1"/>
        <v>#DIV/0!</v>
      </c>
      <c r="X35" s="19" t="e">
        <f t="shared" si="2"/>
        <v>#DIV/0!</v>
      </c>
      <c r="Y35" s="19" t="e">
        <f t="shared" si="3"/>
        <v>#DIV/0!</v>
      </c>
      <c r="Z35" s="20" t="e">
        <f>(T35+U35+(PV(#REF!,'3.4 - Open'!K35,'3.4 - Open'!P35)*-1)+'3.4 - Open'!O35)/'3.4 - Open'!E35</f>
        <v>#REF!</v>
      </c>
      <c r="AA35" s="20" t="e">
        <f t="shared" si="13"/>
        <v>#DIV/0!</v>
      </c>
      <c r="AB35" s="21">
        <f t="shared" si="4"/>
        <v>0</v>
      </c>
      <c r="AC35" s="20">
        <f t="shared" si="5"/>
        <v>0</v>
      </c>
      <c r="AD35" s="20">
        <f t="shared" si="6"/>
        <v>0</v>
      </c>
      <c r="AE35" s="20">
        <f t="shared" si="7"/>
        <v>0</v>
      </c>
      <c r="AF35" s="19" t="e">
        <f t="shared" si="8"/>
        <v>#DIV/0!</v>
      </c>
      <c r="AG35" s="19" t="e">
        <f t="shared" si="9"/>
        <v>#DIV/0!</v>
      </c>
      <c r="AH35" s="19" t="e">
        <f t="shared" si="10"/>
        <v>#DIV/0!</v>
      </c>
      <c r="AI35" s="19" t="e">
        <f t="shared" si="11"/>
        <v>#DIV/0!</v>
      </c>
      <c r="AJ35" s="15">
        <f t="shared" si="14"/>
        <v>0</v>
      </c>
      <c r="AK35" s="19" t="e">
        <f t="shared" si="15"/>
        <v>#DIV/0!</v>
      </c>
      <c r="AL35" s="19" t="e">
        <f t="shared" si="16"/>
        <v>#DIV/0!</v>
      </c>
      <c r="AM35" s="19">
        <f t="shared" si="12"/>
        <v>0</v>
      </c>
      <c r="AN35" s="19" t="e">
        <f t="shared" si="17"/>
        <v>#DIV/0!</v>
      </c>
      <c r="AO35" s="19" t="e">
        <f t="shared" si="18"/>
        <v>#DIV/0!</v>
      </c>
      <c r="AP35" s="18" t="e">
        <f>-PV(#REF!,'3.4 - Open'!K35,'3.4 - Open'!P35)*'3.4 - Open'!B35</f>
        <v>#REF!</v>
      </c>
      <c r="AQ35" s="19" t="e">
        <f t="shared" si="19"/>
        <v>#REF!</v>
      </c>
      <c r="AR35" s="19" t="e">
        <f t="shared" si="20"/>
        <v>#REF!</v>
      </c>
      <c r="AS35" s="18" t="e">
        <f>B35*G35*K35*#REF!</f>
        <v>#REF!</v>
      </c>
      <c r="AT35" s="19" t="e">
        <f>B35*I35*K35*#REF!</f>
        <v>#REF!</v>
      </c>
      <c r="AU35" s="24"/>
      <c r="AV35" s="24"/>
      <c r="AW35" s="24"/>
      <c r="AX35" s="24"/>
      <c r="AY35" s="24"/>
    </row>
    <row r="36" spans="1:51" x14ac:dyDescent="0.25">
      <c r="A36" s="14"/>
      <c r="B36" s="14"/>
      <c r="C36" s="14"/>
      <c r="D36" s="14"/>
      <c r="E36" s="15"/>
      <c r="F36" s="15"/>
      <c r="G36" s="75"/>
      <c r="H36" s="75"/>
      <c r="I36" s="14"/>
      <c r="J36" s="14"/>
      <c r="K36" s="14"/>
      <c r="L36" s="14"/>
      <c r="M36" s="15"/>
      <c r="N36" s="15"/>
      <c r="O36" s="15"/>
      <c r="P36" s="15"/>
      <c r="Q36" s="15"/>
      <c r="R36" s="15"/>
      <c r="S36" s="15"/>
      <c r="T36" s="18">
        <f>IF(C36="Res Space Heat",VLOOKUP(K36,#REF!,4)*G36,IF(C36="Res AC",VLOOKUP(K36,#REF!,6)*G36,IF(C36="Res Lighting",VLOOKUP(K36,#REF!,8)*G36,IF(C36="Res Refrigeration",VLOOKUP(K36,#REF!,10)*G36,IF(C36="Res Water Heating",VLOOKUP(K36,#REF!,12)*G36,IF(C36="Res Dishwasher",VLOOKUP(K36,#REF!,14)*G36,IF(C36="Res Washer Dryer",VLOOKUP(K36,#REF!,16)*G36,IF(C36="Res Misc",VLOOKUP(K36,#REF!,18)*G36,IF(C36="Res Furnace Fan",VLOOKUP(K36,#REF!,20)*G36,IF(C36="NonRes Compressed Air",VLOOKUP(K36,#REF!,22)*G36,IF(C36="NonRes Cooking",VLOOKUP(K36,#REF!,24)*G36,IF(C36="NonRes Space Cooling",VLOOKUP(K36,#REF!,26)*G36,IF(C36="NonRes Exterior Lighting",VLOOKUP(K36,#REF!,28)*G36,IF(C36="NonRes Space Heating",VLOOKUP(K36,#REF!,30)*G36,IF(C36="NonRes Water Heating",VLOOKUP(K36,#REF!,32)*G36,IF(C36="NonRes Interior Lighting",VLOOKUP(K36,#REF!,34)*G36,IF(C36="NonRes Misc",VLOOKUP(K36,#REF!,36)*G36,IF(C36="NonRes Motors",VLOOKUP(K36,#REF!,38)*G36,IF(C36="NonRes Office Equipment",VLOOKUP(K36,#REF!,40)*G36,IF(C36="NonRes Process",VLOOKUP(K36,#REF!,42)*G36,IF(C36="NonRes Refrigeration",VLOOKUP(K36,#REF!,44)*G36,IF(C36="NonRes Ventilation",VLOOKUP(K36,#REF!,46)*G36,0))))))))))))))))))))))</f>
        <v>0</v>
      </c>
      <c r="U36" s="18">
        <f>IF(D36="Annual",VLOOKUP(K36,#REF!,4)*'3.4 - Open'!I36,IF(D36="Winter",VLOOKUP('3.4 - Open'!K36,#REF!,5)*'3.4 - Open'!I36,IF(D36="NA",0,0)))</f>
        <v>0</v>
      </c>
      <c r="V36" s="19" t="e">
        <f t="shared" ref="V36:V67" si="21">(T36/(T36+U36))*E36</f>
        <v>#DIV/0!</v>
      </c>
      <c r="W36" s="19" t="e">
        <f t="shared" ref="W36:W67" si="22">E36-V36</f>
        <v>#DIV/0!</v>
      </c>
      <c r="X36" s="19" t="e">
        <f t="shared" ref="X36:X67" si="23">(T36/(T36+U36))*M36</f>
        <v>#DIV/0!</v>
      </c>
      <c r="Y36" s="19" t="e">
        <f t="shared" ref="Y36:Y67" si="24">M36-X36</f>
        <v>#DIV/0!</v>
      </c>
      <c r="Z36" s="20" t="e">
        <f>(T36+U36+(PV(#REF!,'3.4 - Open'!K36,'3.4 - Open'!P36)*-1)+'3.4 - Open'!O36)/'3.4 - Open'!E36</f>
        <v>#REF!</v>
      </c>
      <c r="AA36" s="20" t="e">
        <f t="shared" si="13"/>
        <v>#DIV/0!</v>
      </c>
      <c r="AB36" s="21">
        <f t="shared" ref="AB36:AB67" si="25">G36*B36</f>
        <v>0</v>
      </c>
      <c r="AC36" s="20">
        <f t="shared" ref="AC36:AC67" si="26">I36*B36</f>
        <v>0</v>
      </c>
      <c r="AD36" s="20">
        <f t="shared" ref="AD36:AD67" si="27">T36*B36</f>
        <v>0</v>
      </c>
      <c r="AE36" s="20">
        <f t="shared" ref="AE36:AE67" si="28">U36*B36</f>
        <v>0</v>
      </c>
      <c r="AF36" s="19" t="e">
        <f t="shared" ref="AF36:AF67" si="29">B36*V36</f>
        <v>#DIV/0!</v>
      </c>
      <c r="AG36" s="19" t="e">
        <f t="shared" ref="AG36:AG67" si="30">W36*B36</f>
        <v>#DIV/0!</v>
      </c>
      <c r="AH36" s="19" t="e">
        <f t="shared" ref="AH36:AH67" si="31">B36*X36</f>
        <v>#DIV/0!</v>
      </c>
      <c r="AI36" s="19" t="e">
        <f t="shared" ref="AI36:AI67" si="32">B36*Y36</f>
        <v>#DIV/0!</v>
      </c>
      <c r="AJ36" s="15">
        <f t="shared" si="14"/>
        <v>0</v>
      </c>
      <c r="AK36" s="19" t="e">
        <f t="shared" si="15"/>
        <v>#DIV/0!</v>
      </c>
      <c r="AL36" s="19" t="e">
        <f t="shared" si="16"/>
        <v>#DIV/0!</v>
      </c>
      <c r="AM36" s="19">
        <f t="shared" ref="AM36:AM67" si="33">O36*B36</f>
        <v>0</v>
      </c>
      <c r="AN36" s="19" t="e">
        <f t="shared" si="17"/>
        <v>#DIV/0!</v>
      </c>
      <c r="AO36" s="19" t="e">
        <f t="shared" si="18"/>
        <v>#DIV/0!</v>
      </c>
      <c r="AP36" s="18" t="e">
        <f>-PV(#REF!,'3.4 - Open'!K36,'3.4 - Open'!P36)*'3.4 - Open'!B36</f>
        <v>#REF!</v>
      </c>
      <c r="AQ36" s="19" t="e">
        <f t="shared" si="19"/>
        <v>#REF!</v>
      </c>
      <c r="AR36" s="19" t="e">
        <f t="shared" si="20"/>
        <v>#REF!</v>
      </c>
      <c r="AS36" s="18" t="e">
        <f>B36*G36*K36*#REF!</f>
        <v>#REF!</v>
      </c>
      <c r="AT36" s="19" t="e">
        <f>B36*I36*K36*#REF!</f>
        <v>#REF!</v>
      </c>
      <c r="AU36" s="24"/>
      <c r="AV36" s="24"/>
      <c r="AW36" s="24"/>
      <c r="AX36" s="24"/>
      <c r="AY36" s="24"/>
    </row>
    <row r="37" spans="1:51" x14ac:dyDescent="0.25">
      <c r="A37" s="14"/>
      <c r="B37" s="14"/>
      <c r="C37" s="14"/>
      <c r="D37" s="14"/>
      <c r="E37" s="15"/>
      <c r="F37" s="15"/>
      <c r="G37" s="75"/>
      <c r="H37" s="75"/>
      <c r="I37" s="14"/>
      <c r="J37" s="14"/>
      <c r="K37" s="14"/>
      <c r="L37" s="14"/>
      <c r="M37" s="15"/>
      <c r="N37" s="15"/>
      <c r="O37" s="15"/>
      <c r="P37" s="15"/>
      <c r="Q37" s="15"/>
      <c r="R37" s="15"/>
      <c r="S37" s="15"/>
      <c r="T37" s="18">
        <f>IF(C37="Res Space Heat",VLOOKUP(K37,#REF!,4)*G37,IF(C37="Res AC",VLOOKUP(K37,#REF!,6)*G37,IF(C37="Res Lighting",VLOOKUP(K37,#REF!,8)*G37,IF(C37="Res Refrigeration",VLOOKUP(K37,#REF!,10)*G37,IF(C37="Res Water Heating",VLOOKUP(K37,#REF!,12)*G37,IF(C37="Res Dishwasher",VLOOKUP(K37,#REF!,14)*G37,IF(C37="Res Washer Dryer",VLOOKUP(K37,#REF!,16)*G37,IF(C37="Res Misc",VLOOKUP(K37,#REF!,18)*G37,IF(C37="Res Furnace Fan",VLOOKUP(K37,#REF!,20)*G37,IF(C37="NonRes Compressed Air",VLOOKUP(K37,#REF!,22)*G37,IF(C37="NonRes Cooking",VLOOKUP(K37,#REF!,24)*G37,IF(C37="NonRes Space Cooling",VLOOKUP(K37,#REF!,26)*G37,IF(C37="NonRes Exterior Lighting",VLOOKUP(K37,#REF!,28)*G37,IF(C37="NonRes Space Heating",VLOOKUP(K37,#REF!,30)*G37,IF(C37="NonRes Water Heating",VLOOKUP(K37,#REF!,32)*G37,IF(C37="NonRes Interior Lighting",VLOOKUP(K37,#REF!,34)*G37,IF(C37="NonRes Misc",VLOOKUP(K37,#REF!,36)*G37,IF(C37="NonRes Motors",VLOOKUP(K37,#REF!,38)*G37,IF(C37="NonRes Office Equipment",VLOOKUP(K37,#REF!,40)*G37,IF(C37="NonRes Process",VLOOKUP(K37,#REF!,42)*G37,IF(C37="NonRes Refrigeration",VLOOKUP(K37,#REF!,44)*G37,IF(C37="NonRes Ventilation",VLOOKUP(K37,#REF!,46)*G37,0))))))))))))))))))))))</f>
        <v>0</v>
      </c>
      <c r="U37" s="18">
        <f>IF(D37="Annual",VLOOKUP(K37,#REF!,4)*'3.4 - Open'!I37,IF(D37="Winter",VLOOKUP('3.4 - Open'!K37,#REF!,5)*'3.4 - Open'!I37,IF(D37="NA",0,0)))</f>
        <v>0</v>
      </c>
      <c r="V37" s="19" t="e">
        <f t="shared" si="21"/>
        <v>#DIV/0!</v>
      </c>
      <c r="W37" s="19" t="e">
        <f t="shared" si="22"/>
        <v>#DIV/0!</v>
      </c>
      <c r="X37" s="19" t="e">
        <f t="shared" si="23"/>
        <v>#DIV/0!</v>
      </c>
      <c r="Y37" s="19" t="e">
        <f t="shared" si="24"/>
        <v>#DIV/0!</v>
      </c>
      <c r="Z37" s="20" t="e">
        <f>(T37+U37+(PV(#REF!,'3.4 - Open'!K37,'3.4 - Open'!P37)*-1)+'3.4 - Open'!O37)/'3.4 - Open'!E37</f>
        <v>#REF!</v>
      </c>
      <c r="AA37" s="20" t="e">
        <f t="shared" ref="AA37:AA68" si="34">((T37+U37)/1.1)/M37</f>
        <v>#DIV/0!</v>
      </c>
      <c r="AB37" s="21">
        <f t="shared" si="25"/>
        <v>0</v>
      </c>
      <c r="AC37" s="20">
        <f t="shared" si="26"/>
        <v>0</v>
      </c>
      <c r="AD37" s="20">
        <f t="shared" si="27"/>
        <v>0</v>
      </c>
      <c r="AE37" s="20">
        <f t="shared" si="28"/>
        <v>0</v>
      </c>
      <c r="AF37" s="19" t="e">
        <f t="shared" si="29"/>
        <v>#DIV/0!</v>
      </c>
      <c r="AG37" s="19" t="e">
        <f t="shared" si="30"/>
        <v>#DIV/0!</v>
      </c>
      <c r="AH37" s="19" t="e">
        <f t="shared" si="31"/>
        <v>#DIV/0!</v>
      </c>
      <c r="AI37" s="19" t="e">
        <f t="shared" si="32"/>
        <v>#DIV/0!</v>
      </c>
      <c r="AJ37" s="15">
        <f t="shared" ref="AJ37:AJ68" si="35">((G37*0.12)-M37)*B37</f>
        <v>0</v>
      </c>
      <c r="AK37" s="19" t="e">
        <f t="shared" si="15"/>
        <v>#DIV/0!</v>
      </c>
      <c r="AL37" s="19" t="e">
        <f t="shared" si="16"/>
        <v>#DIV/0!</v>
      </c>
      <c r="AM37" s="19">
        <f t="shared" si="33"/>
        <v>0</v>
      </c>
      <c r="AN37" s="19" t="e">
        <f t="shared" si="17"/>
        <v>#DIV/0!</v>
      </c>
      <c r="AO37" s="19" t="e">
        <f t="shared" si="18"/>
        <v>#DIV/0!</v>
      </c>
      <c r="AP37" s="18" t="e">
        <f>-PV(#REF!,'3.4 - Open'!K37,'3.4 - Open'!P37)*'3.4 - Open'!B37</f>
        <v>#REF!</v>
      </c>
      <c r="AQ37" s="19" t="e">
        <f t="shared" si="19"/>
        <v>#REF!</v>
      </c>
      <c r="AR37" s="19" t="e">
        <f t="shared" si="20"/>
        <v>#REF!</v>
      </c>
      <c r="AS37" s="18" t="e">
        <f>B37*G37*K37*#REF!</f>
        <v>#REF!</v>
      </c>
      <c r="AT37" s="19" t="e">
        <f>B37*I37*K37*#REF!</f>
        <v>#REF!</v>
      </c>
      <c r="AU37" s="24"/>
      <c r="AV37" s="24"/>
      <c r="AW37" s="24"/>
      <c r="AX37" s="24"/>
      <c r="AY37" s="24"/>
    </row>
    <row r="38" spans="1:51" x14ac:dyDescent="0.25">
      <c r="A38" s="14"/>
      <c r="B38" s="14"/>
      <c r="C38" s="14"/>
      <c r="D38" s="14" t="s">
        <v>24</v>
      </c>
      <c r="E38" s="15"/>
      <c r="F38" s="15"/>
      <c r="G38" s="14"/>
      <c r="H38" s="14"/>
      <c r="I38" s="14"/>
      <c r="J38" s="14"/>
      <c r="K38" s="14"/>
      <c r="L38" s="14"/>
      <c r="M38" s="15"/>
      <c r="N38" s="15"/>
      <c r="O38" s="15"/>
      <c r="P38" s="15"/>
      <c r="Q38" s="15"/>
      <c r="R38" s="15"/>
      <c r="S38" s="15"/>
      <c r="T38" s="18">
        <f>IF(C38="Res Space Heat",VLOOKUP(K38,#REF!,4)*G38,IF(C38="Res AC",VLOOKUP(K38,#REF!,6)*G38,IF(C38="Res Lighting",VLOOKUP(K38,#REF!,8)*G38,IF(C38="Res Refrigeration",VLOOKUP(K38,#REF!,10)*G38,IF(C38="Res Water Heating",VLOOKUP(K38,#REF!,12)*G38,IF(C38="Res Dishwasher",VLOOKUP(K38,#REF!,14)*G38,IF(C38="Res Washer Dryer",VLOOKUP(K38,#REF!,16)*G38,IF(C38="Res Misc",VLOOKUP(K38,#REF!,18)*G38,IF(C38="Res Furnace Fan",VLOOKUP(K38,#REF!,20)*G38,IF(C38="NonRes Compressed Air",VLOOKUP(K38,#REF!,22)*G38,IF(C38="NonRes Cooking",VLOOKUP(K38,#REF!,24)*G38,IF(C38="NonRes Space Cooling",VLOOKUP(K38,#REF!,26)*G38,IF(C38="NonRes Exterior Lighting",VLOOKUP(K38,#REF!,28)*G38,IF(C38="NonRes Space Heating",VLOOKUP(K38,#REF!,30)*G38,IF(C38="NonRes Water Heating",VLOOKUP(K38,#REF!,32)*G38,IF(C38="NonRes Interior Lighting",VLOOKUP(K38,#REF!,34)*G38,IF(C38="NonRes Misc",VLOOKUP(K38,#REF!,36)*G38,IF(C38="NonRes Motors",VLOOKUP(K38,#REF!,38)*G38,IF(C38="NonRes Office Equipment",VLOOKUP(K38,#REF!,40)*G38,IF(C38="NonRes Process",VLOOKUP(K38,#REF!,42)*G38,IF(C38="NonRes Refrigeration",VLOOKUP(K38,#REF!,44)*G38,IF(C38="NonRes Ventilation",VLOOKUP(K38,#REF!,46)*G38,0))))))))))))))))))))))</f>
        <v>0</v>
      </c>
      <c r="U38" s="18">
        <f>IF(D38="Annual",VLOOKUP(K38,#REF!,4)*'3.4 - Open'!I38,IF(D38="Winter",VLOOKUP('3.4 - Open'!K38,#REF!,5)*'3.4 - Open'!I38,IF(D38="NA",0,0)))</f>
        <v>0</v>
      </c>
      <c r="V38" s="19" t="e">
        <f t="shared" si="21"/>
        <v>#DIV/0!</v>
      </c>
      <c r="W38" s="19" t="e">
        <f t="shared" si="22"/>
        <v>#DIV/0!</v>
      </c>
      <c r="X38" s="19" t="e">
        <f t="shared" si="23"/>
        <v>#DIV/0!</v>
      </c>
      <c r="Y38" s="19" t="e">
        <f t="shared" si="24"/>
        <v>#DIV/0!</v>
      </c>
      <c r="Z38" s="20" t="e">
        <f>(T38+U38+(PV(#REF!,'3.4 - Open'!K38,'3.4 - Open'!P38)*-1)+'3.4 - Open'!O38)/'3.4 - Open'!E38</f>
        <v>#REF!</v>
      </c>
      <c r="AA38" s="20" t="e">
        <f t="shared" si="34"/>
        <v>#DIV/0!</v>
      </c>
      <c r="AB38" s="21">
        <f t="shared" si="25"/>
        <v>0</v>
      </c>
      <c r="AC38" s="20">
        <f t="shared" si="26"/>
        <v>0</v>
      </c>
      <c r="AD38" s="20">
        <f t="shared" si="27"/>
        <v>0</v>
      </c>
      <c r="AE38" s="20">
        <f t="shared" si="28"/>
        <v>0</v>
      </c>
      <c r="AF38" s="19" t="e">
        <f t="shared" si="29"/>
        <v>#DIV/0!</v>
      </c>
      <c r="AG38" s="19" t="e">
        <f t="shared" si="30"/>
        <v>#DIV/0!</v>
      </c>
      <c r="AH38" s="19" t="e">
        <f t="shared" si="31"/>
        <v>#DIV/0!</v>
      </c>
      <c r="AI38" s="19" t="e">
        <f t="shared" si="32"/>
        <v>#DIV/0!</v>
      </c>
      <c r="AJ38" s="15">
        <f t="shared" si="35"/>
        <v>0</v>
      </c>
      <c r="AK38" s="19" t="e">
        <f t="shared" si="15"/>
        <v>#DIV/0!</v>
      </c>
      <c r="AL38" s="19" t="e">
        <f t="shared" si="16"/>
        <v>#DIV/0!</v>
      </c>
      <c r="AM38" s="19">
        <f t="shared" si="33"/>
        <v>0</v>
      </c>
      <c r="AN38" s="19" t="e">
        <f t="shared" si="17"/>
        <v>#DIV/0!</v>
      </c>
      <c r="AO38" s="19" t="e">
        <f t="shared" si="18"/>
        <v>#DIV/0!</v>
      </c>
      <c r="AP38" s="18" t="e">
        <f>-PV(#REF!,'3.4 - Open'!K38,'3.4 - Open'!P38)*'3.4 - Open'!B38</f>
        <v>#REF!</v>
      </c>
      <c r="AQ38" s="19" t="e">
        <f t="shared" si="19"/>
        <v>#REF!</v>
      </c>
      <c r="AR38" s="19" t="e">
        <f t="shared" si="20"/>
        <v>#REF!</v>
      </c>
      <c r="AS38" s="18" t="e">
        <f>B38*G38*K38*#REF!</f>
        <v>#REF!</v>
      </c>
      <c r="AT38" s="19" t="e">
        <f>B38*I38*K38*#REF!</f>
        <v>#REF!</v>
      </c>
      <c r="AU38" s="24"/>
      <c r="AV38" s="24"/>
      <c r="AW38" s="24"/>
      <c r="AX38" s="24"/>
      <c r="AY38" s="24"/>
    </row>
    <row r="39" spans="1:51" x14ac:dyDescent="0.25">
      <c r="A39" s="14"/>
      <c r="B39" s="14"/>
      <c r="C39" s="14"/>
      <c r="D39" s="14" t="s">
        <v>24</v>
      </c>
      <c r="E39" s="15"/>
      <c r="F39" s="15"/>
      <c r="G39" s="14"/>
      <c r="H39" s="14"/>
      <c r="I39" s="14"/>
      <c r="J39" s="14"/>
      <c r="K39" s="14"/>
      <c r="L39" s="14"/>
      <c r="M39" s="15"/>
      <c r="N39" s="15"/>
      <c r="O39" s="15"/>
      <c r="P39" s="15"/>
      <c r="Q39" s="15"/>
      <c r="R39" s="15"/>
      <c r="S39" s="15"/>
      <c r="T39" s="18">
        <f>IF(C39="Res Space Heat",VLOOKUP(K39,#REF!,4)*G39,IF(C39="Res AC",VLOOKUP(K39,#REF!,6)*G39,IF(C39="Res Lighting",VLOOKUP(K39,#REF!,8)*G39,IF(C39="Res Refrigeration",VLOOKUP(K39,#REF!,10)*G39,IF(C39="Res Water Heating",VLOOKUP(K39,#REF!,12)*G39,IF(C39="Res Dishwasher",VLOOKUP(K39,#REF!,14)*G39,IF(C39="Res Washer Dryer",VLOOKUP(K39,#REF!,16)*G39,IF(C39="Res Misc",VLOOKUP(K39,#REF!,18)*G39,IF(C39="Res Furnace Fan",VLOOKUP(K39,#REF!,20)*G39,IF(C39="NonRes Compressed Air",VLOOKUP(K39,#REF!,22)*G39,IF(C39="NonRes Cooking",VLOOKUP(K39,#REF!,24)*G39,IF(C39="NonRes Space Cooling",VLOOKUP(K39,#REF!,26)*G39,IF(C39="NonRes Exterior Lighting",VLOOKUP(K39,#REF!,28)*G39,IF(C39="NonRes Space Heating",VLOOKUP(K39,#REF!,30)*G39,IF(C39="NonRes Water Heating",VLOOKUP(K39,#REF!,32)*G39,IF(C39="NonRes Interior Lighting",VLOOKUP(K39,#REF!,34)*G39,IF(C39="NonRes Misc",VLOOKUP(K39,#REF!,36)*G39,IF(C39="NonRes Motors",VLOOKUP(K39,#REF!,38)*G39,IF(C39="NonRes Office Equipment",VLOOKUP(K39,#REF!,40)*G39,IF(C39="NonRes Process",VLOOKUP(K39,#REF!,42)*G39,IF(C39="NonRes Refrigeration",VLOOKUP(K39,#REF!,44)*G39,IF(C39="NonRes Ventilation",VLOOKUP(K39,#REF!,46)*G39,0))))))))))))))))))))))</f>
        <v>0</v>
      </c>
      <c r="U39" s="18">
        <f>IF(D39="Annual",VLOOKUP(K39,#REF!,4)*'3.4 - Open'!I39,IF(D39="Winter",VLOOKUP('3.4 - Open'!K39,#REF!,5)*'3.4 - Open'!I39,IF(D39="NA",0,0)))</f>
        <v>0</v>
      </c>
      <c r="V39" s="19" t="e">
        <f t="shared" si="21"/>
        <v>#DIV/0!</v>
      </c>
      <c r="W39" s="19" t="e">
        <f t="shared" si="22"/>
        <v>#DIV/0!</v>
      </c>
      <c r="X39" s="19" t="e">
        <f t="shared" si="23"/>
        <v>#DIV/0!</v>
      </c>
      <c r="Y39" s="19" t="e">
        <f t="shared" si="24"/>
        <v>#DIV/0!</v>
      </c>
      <c r="Z39" s="20" t="e">
        <f>(T39+U39+(PV(#REF!,'3.4 - Open'!K39,'3.4 - Open'!P39)*-1)+'3.4 - Open'!O39)/'3.4 - Open'!E39</f>
        <v>#REF!</v>
      </c>
      <c r="AA39" s="20" t="e">
        <f t="shared" si="34"/>
        <v>#DIV/0!</v>
      </c>
      <c r="AB39" s="21">
        <f t="shared" si="25"/>
        <v>0</v>
      </c>
      <c r="AC39" s="20">
        <f t="shared" si="26"/>
        <v>0</v>
      </c>
      <c r="AD39" s="20">
        <f t="shared" si="27"/>
        <v>0</v>
      </c>
      <c r="AE39" s="20">
        <f t="shared" si="28"/>
        <v>0</v>
      </c>
      <c r="AF39" s="19" t="e">
        <f t="shared" si="29"/>
        <v>#DIV/0!</v>
      </c>
      <c r="AG39" s="19" t="e">
        <f t="shared" si="30"/>
        <v>#DIV/0!</v>
      </c>
      <c r="AH39" s="19" t="e">
        <f t="shared" si="31"/>
        <v>#DIV/0!</v>
      </c>
      <c r="AI39" s="19" t="e">
        <f t="shared" si="32"/>
        <v>#DIV/0!</v>
      </c>
      <c r="AJ39" s="15">
        <f t="shared" si="35"/>
        <v>0</v>
      </c>
      <c r="AK39" s="19" t="e">
        <f t="shared" si="15"/>
        <v>#DIV/0!</v>
      </c>
      <c r="AL39" s="19" t="e">
        <f t="shared" si="16"/>
        <v>#DIV/0!</v>
      </c>
      <c r="AM39" s="19">
        <f t="shared" si="33"/>
        <v>0</v>
      </c>
      <c r="AN39" s="19" t="e">
        <f t="shared" si="17"/>
        <v>#DIV/0!</v>
      </c>
      <c r="AO39" s="19" t="e">
        <f t="shared" si="18"/>
        <v>#DIV/0!</v>
      </c>
      <c r="AP39" s="18" t="e">
        <f>-PV(#REF!,'3.4 - Open'!K39,'3.4 - Open'!P39)*'3.4 - Open'!B39</f>
        <v>#REF!</v>
      </c>
      <c r="AQ39" s="19" t="e">
        <f t="shared" si="19"/>
        <v>#REF!</v>
      </c>
      <c r="AR39" s="19" t="e">
        <f t="shared" si="20"/>
        <v>#REF!</v>
      </c>
      <c r="AS39" s="18" t="e">
        <f>B39*G39*K39*#REF!</f>
        <v>#REF!</v>
      </c>
      <c r="AT39" s="19" t="e">
        <f>B39*I39*K39*#REF!</f>
        <v>#REF!</v>
      </c>
      <c r="AU39" s="24"/>
      <c r="AV39" s="24"/>
      <c r="AW39" s="24"/>
      <c r="AX39" s="24"/>
      <c r="AY39" s="24"/>
    </row>
    <row r="40" spans="1:51" x14ac:dyDescent="0.25">
      <c r="A40" s="14"/>
      <c r="B40" s="14"/>
      <c r="C40" s="14"/>
      <c r="D40" s="14" t="s">
        <v>24</v>
      </c>
      <c r="E40" s="15"/>
      <c r="F40" s="15"/>
      <c r="G40" s="14"/>
      <c r="H40" s="14"/>
      <c r="I40" s="14"/>
      <c r="J40" s="14"/>
      <c r="K40" s="14"/>
      <c r="L40" s="14"/>
      <c r="M40" s="15"/>
      <c r="N40" s="15"/>
      <c r="O40" s="15"/>
      <c r="P40" s="15"/>
      <c r="Q40" s="15"/>
      <c r="R40" s="15"/>
      <c r="S40" s="15"/>
      <c r="T40" s="18">
        <f>IF(C40="Res Space Heat",VLOOKUP(K40,#REF!,4)*G40,IF(C40="Res AC",VLOOKUP(K40,#REF!,6)*G40,IF(C40="Res Lighting",VLOOKUP(K40,#REF!,8)*G40,IF(C40="Res Refrigeration",VLOOKUP(K40,#REF!,10)*G40,IF(C40="Res Water Heating",VLOOKUP(K40,#REF!,12)*G40,IF(C40="Res Dishwasher",VLOOKUP(K40,#REF!,14)*G40,IF(C40="Res Washer Dryer",VLOOKUP(K40,#REF!,16)*G40,IF(C40="Res Misc",VLOOKUP(K40,#REF!,18)*G40,IF(C40="Res Furnace Fan",VLOOKUP(K40,#REF!,20)*G40,IF(C40="NonRes Compressed Air",VLOOKUP(K40,#REF!,22)*G40,IF(C40="NonRes Cooking",VLOOKUP(K40,#REF!,24)*G40,IF(C40="NonRes Space Cooling",VLOOKUP(K40,#REF!,26)*G40,IF(C40="NonRes Exterior Lighting",VLOOKUP(K40,#REF!,28)*G40,IF(C40="NonRes Space Heating",VLOOKUP(K40,#REF!,30)*G40,IF(C40="NonRes Water Heating",VLOOKUP(K40,#REF!,32)*G40,IF(C40="NonRes Interior Lighting",VLOOKUP(K40,#REF!,34)*G40,IF(C40="NonRes Misc",VLOOKUP(K40,#REF!,36)*G40,IF(C40="NonRes Motors",VLOOKUP(K40,#REF!,38)*G40,IF(C40="NonRes Office Equipment",VLOOKUP(K40,#REF!,40)*G40,IF(C40="NonRes Process",VLOOKUP(K40,#REF!,42)*G40,IF(C40="NonRes Refrigeration",VLOOKUP(K40,#REF!,44)*G40,IF(C40="NonRes Ventilation",VLOOKUP(K40,#REF!,46)*G40,0))))))))))))))))))))))</f>
        <v>0</v>
      </c>
      <c r="U40" s="18">
        <f>IF(D40="Annual",VLOOKUP(K40,#REF!,4)*'3.4 - Open'!I40,IF(D40="Winter",VLOOKUP('3.4 - Open'!K40,#REF!,5)*'3.4 - Open'!I40,IF(D40="NA",0,0)))</f>
        <v>0</v>
      </c>
      <c r="V40" s="19" t="e">
        <f t="shared" si="21"/>
        <v>#DIV/0!</v>
      </c>
      <c r="W40" s="19" t="e">
        <f t="shared" si="22"/>
        <v>#DIV/0!</v>
      </c>
      <c r="X40" s="19" t="e">
        <f t="shared" si="23"/>
        <v>#DIV/0!</v>
      </c>
      <c r="Y40" s="19" t="e">
        <f t="shared" si="24"/>
        <v>#DIV/0!</v>
      </c>
      <c r="Z40" s="20" t="e">
        <f>(T40+U40+(PV(#REF!,'3.4 - Open'!K40,'3.4 - Open'!P40)*-1)+'3.4 - Open'!O40)/'3.4 - Open'!E40</f>
        <v>#REF!</v>
      </c>
      <c r="AA40" s="20" t="e">
        <f t="shared" si="34"/>
        <v>#DIV/0!</v>
      </c>
      <c r="AB40" s="21">
        <f t="shared" si="25"/>
        <v>0</v>
      </c>
      <c r="AC40" s="20">
        <f t="shared" si="26"/>
        <v>0</v>
      </c>
      <c r="AD40" s="20">
        <f t="shared" si="27"/>
        <v>0</v>
      </c>
      <c r="AE40" s="20">
        <f t="shared" si="28"/>
        <v>0</v>
      </c>
      <c r="AF40" s="19" t="e">
        <f t="shared" si="29"/>
        <v>#DIV/0!</v>
      </c>
      <c r="AG40" s="19" t="e">
        <f t="shared" si="30"/>
        <v>#DIV/0!</v>
      </c>
      <c r="AH40" s="19" t="e">
        <f t="shared" si="31"/>
        <v>#DIV/0!</v>
      </c>
      <c r="AI40" s="19" t="e">
        <f t="shared" si="32"/>
        <v>#DIV/0!</v>
      </c>
      <c r="AJ40" s="15">
        <f t="shared" si="35"/>
        <v>0</v>
      </c>
      <c r="AK40" s="19" t="e">
        <f t="shared" si="15"/>
        <v>#DIV/0!</v>
      </c>
      <c r="AL40" s="19" t="e">
        <f t="shared" si="16"/>
        <v>#DIV/0!</v>
      </c>
      <c r="AM40" s="19">
        <f t="shared" si="33"/>
        <v>0</v>
      </c>
      <c r="AN40" s="19" t="e">
        <f t="shared" si="17"/>
        <v>#DIV/0!</v>
      </c>
      <c r="AO40" s="19" t="e">
        <f t="shared" si="18"/>
        <v>#DIV/0!</v>
      </c>
      <c r="AP40" s="18" t="e">
        <f>-PV(#REF!,'3.4 - Open'!K40,'3.4 - Open'!P40)*'3.4 - Open'!B40</f>
        <v>#REF!</v>
      </c>
      <c r="AQ40" s="19" t="e">
        <f t="shared" si="19"/>
        <v>#REF!</v>
      </c>
      <c r="AR40" s="19" t="e">
        <f t="shared" si="20"/>
        <v>#REF!</v>
      </c>
      <c r="AS40" s="18" t="e">
        <f>B40*G40*K40*#REF!</f>
        <v>#REF!</v>
      </c>
      <c r="AT40" s="19" t="e">
        <f>B40*I40*K40*#REF!</f>
        <v>#REF!</v>
      </c>
      <c r="AU40" s="24"/>
      <c r="AV40" s="24"/>
      <c r="AW40" s="24"/>
      <c r="AX40" s="24"/>
      <c r="AY40" s="24"/>
    </row>
    <row r="41" spans="1:51" x14ac:dyDescent="0.25">
      <c r="A41" s="14"/>
      <c r="B41" s="14"/>
      <c r="C41" s="14"/>
      <c r="D41" s="14" t="s">
        <v>24</v>
      </c>
      <c r="E41" s="15"/>
      <c r="F41" s="15"/>
      <c r="G41" s="14"/>
      <c r="H41" s="14"/>
      <c r="I41" s="14"/>
      <c r="J41" s="14"/>
      <c r="K41" s="14"/>
      <c r="L41" s="14"/>
      <c r="M41" s="15"/>
      <c r="N41" s="15"/>
      <c r="O41" s="15"/>
      <c r="P41" s="15"/>
      <c r="Q41" s="15"/>
      <c r="R41" s="15"/>
      <c r="S41" s="15"/>
      <c r="T41" s="18">
        <f>IF(C41="Res Space Heat",VLOOKUP(K41,#REF!,4)*G41,IF(C41="Res AC",VLOOKUP(K41,#REF!,6)*G41,IF(C41="Res Lighting",VLOOKUP(K41,#REF!,8)*G41,IF(C41="Res Refrigeration",VLOOKUP(K41,#REF!,10)*G41,IF(C41="Res Water Heating",VLOOKUP(K41,#REF!,12)*G41,IF(C41="Res Dishwasher",VLOOKUP(K41,#REF!,14)*G41,IF(C41="Res Washer Dryer",VLOOKUP(K41,#REF!,16)*G41,IF(C41="Res Misc",VLOOKUP(K41,#REF!,18)*G41,IF(C41="Res Furnace Fan",VLOOKUP(K41,#REF!,20)*G41,IF(C41="NonRes Compressed Air",VLOOKUP(K41,#REF!,22)*G41,IF(C41="NonRes Cooking",VLOOKUP(K41,#REF!,24)*G41,IF(C41="NonRes Space Cooling",VLOOKUP(K41,#REF!,26)*G41,IF(C41="NonRes Exterior Lighting",VLOOKUP(K41,#REF!,28)*G41,IF(C41="NonRes Space Heating",VLOOKUP(K41,#REF!,30)*G41,IF(C41="NonRes Water Heating",VLOOKUP(K41,#REF!,32)*G41,IF(C41="NonRes Interior Lighting",VLOOKUP(K41,#REF!,34)*G41,IF(C41="NonRes Misc",VLOOKUP(K41,#REF!,36)*G41,IF(C41="NonRes Motors",VLOOKUP(K41,#REF!,38)*G41,IF(C41="NonRes Office Equipment",VLOOKUP(K41,#REF!,40)*G41,IF(C41="NonRes Process",VLOOKUP(K41,#REF!,42)*G41,IF(C41="NonRes Refrigeration",VLOOKUP(K41,#REF!,44)*G41,IF(C41="NonRes Ventilation",VLOOKUP(K41,#REF!,46)*G41,0))))))))))))))))))))))</f>
        <v>0</v>
      </c>
      <c r="U41" s="18">
        <f>IF(D41="Annual",VLOOKUP(K41,#REF!,4)*'3.4 - Open'!I41,IF(D41="Winter",VLOOKUP('3.4 - Open'!K41,#REF!,5)*'3.4 - Open'!I41,IF(D41="NA",0,0)))</f>
        <v>0</v>
      </c>
      <c r="V41" s="19" t="e">
        <f t="shared" si="21"/>
        <v>#DIV/0!</v>
      </c>
      <c r="W41" s="19" t="e">
        <f t="shared" si="22"/>
        <v>#DIV/0!</v>
      </c>
      <c r="X41" s="19" t="e">
        <f t="shared" si="23"/>
        <v>#DIV/0!</v>
      </c>
      <c r="Y41" s="19" t="e">
        <f t="shared" si="24"/>
        <v>#DIV/0!</v>
      </c>
      <c r="Z41" s="20" t="e">
        <f>(T41+U41+(PV(#REF!,'3.4 - Open'!K41,'3.4 - Open'!P41)*-1)+'3.4 - Open'!O41)/'3.4 - Open'!E41</f>
        <v>#REF!</v>
      </c>
      <c r="AA41" s="20" t="e">
        <f t="shared" si="34"/>
        <v>#DIV/0!</v>
      </c>
      <c r="AB41" s="21">
        <f t="shared" si="25"/>
        <v>0</v>
      </c>
      <c r="AC41" s="20">
        <f t="shared" si="26"/>
        <v>0</v>
      </c>
      <c r="AD41" s="20">
        <f t="shared" si="27"/>
        <v>0</v>
      </c>
      <c r="AE41" s="20">
        <f t="shared" si="28"/>
        <v>0</v>
      </c>
      <c r="AF41" s="19" t="e">
        <f t="shared" si="29"/>
        <v>#DIV/0!</v>
      </c>
      <c r="AG41" s="19" t="e">
        <f t="shared" si="30"/>
        <v>#DIV/0!</v>
      </c>
      <c r="AH41" s="19" t="e">
        <f t="shared" si="31"/>
        <v>#DIV/0!</v>
      </c>
      <c r="AI41" s="19" t="e">
        <f t="shared" si="32"/>
        <v>#DIV/0!</v>
      </c>
      <c r="AJ41" s="15">
        <f t="shared" si="35"/>
        <v>0</v>
      </c>
      <c r="AK41" s="19" t="e">
        <f t="shared" si="15"/>
        <v>#DIV/0!</v>
      </c>
      <c r="AL41" s="19" t="e">
        <f t="shared" si="16"/>
        <v>#DIV/0!</v>
      </c>
      <c r="AM41" s="19">
        <f t="shared" si="33"/>
        <v>0</v>
      </c>
      <c r="AN41" s="19" t="e">
        <f t="shared" si="17"/>
        <v>#DIV/0!</v>
      </c>
      <c r="AO41" s="19" t="e">
        <f t="shared" si="18"/>
        <v>#DIV/0!</v>
      </c>
      <c r="AP41" s="18" t="e">
        <f>-PV(#REF!,'3.4 - Open'!K41,'3.4 - Open'!P41)*'3.4 - Open'!B41</f>
        <v>#REF!</v>
      </c>
      <c r="AQ41" s="19" t="e">
        <f t="shared" si="19"/>
        <v>#REF!</v>
      </c>
      <c r="AR41" s="19" t="e">
        <f t="shared" si="20"/>
        <v>#REF!</v>
      </c>
      <c r="AS41" s="18" t="e">
        <f>B41*G41*K41*#REF!</f>
        <v>#REF!</v>
      </c>
      <c r="AT41" s="19" t="e">
        <f>B41*I41*K41*#REF!</f>
        <v>#REF!</v>
      </c>
      <c r="AU41" s="24"/>
      <c r="AV41" s="24"/>
      <c r="AW41" s="24"/>
      <c r="AX41" s="24"/>
      <c r="AY41" s="24"/>
    </row>
    <row r="42" spans="1:51" x14ac:dyDescent="0.25">
      <c r="A42" s="14"/>
      <c r="B42" s="14"/>
      <c r="C42" s="14"/>
      <c r="D42" s="14" t="s">
        <v>24</v>
      </c>
      <c r="E42" s="15"/>
      <c r="F42" s="15"/>
      <c r="G42" s="14"/>
      <c r="H42" s="14"/>
      <c r="I42" s="14"/>
      <c r="J42" s="14"/>
      <c r="K42" s="14"/>
      <c r="L42" s="14"/>
      <c r="M42" s="15"/>
      <c r="N42" s="15"/>
      <c r="O42" s="15"/>
      <c r="P42" s="15"/>
      <c r="Q42" s="15"/>
      <c r="R42" s="15"/>
      <c r="S42" s="15"/>
      <c r="T42" s="18">
        <f>IF(C42="Res Space Heat",VLOOKUP(K42,#REF!,4)*G42,IF(C42="Res AC",VLOOKUP(K42,#REF!,6)*G42,IF(C42="Res Lighting",VLOOKUP(K42,#REF!,8)*G42,IF(C42="Res Refrigeration",VLOOKUP(K42,#REF!,10)*G42,IF(C42="Res Water Heating",VLOOKUP(K42,#REF!,12)*G42,IF(C42="Res Dishwasher",VLOOKUP(K42,#REF!,14)*G42,IF(C42="Res Washer Dryer",VLOOKUP(K42,#REF!,16)*G42,IF(C42="Res Misc",VLOOKUP(K42,#REF!,18)*G42,IF(C42="Res Furnace Fan",VLOOKUP(K42,#REF!,20)*G42,IF(C42="NonRes Compressed Air",VLOOKUP(K42,#REF!,22)*G42,IF(C42="NonRes Cooking",VLOOKUP(K42,#REF!,24)*G42,IF(C42="NonRes Space Cooling",VLOOKUP(K42,#REF!,26)*G42,IF(C42="NonRes Exterior Lighting",VLOOKUP(K42,#REF!,28)*G42,IF(C42="NonRes Space Heating",VLOOKUP(K42,#REF!,30)*G42,IF(C42="NonRes Water Heating",VLOOKUP(K42,#REF!,32)*G42,IF(C42="NonRes Interior Lighting",VLOOKUP(K42,#REF!,34)*G42,IF(C42="NonRes Misc",VLOOKUP(K42,#REF!,36)*G42,IF(C42="NonRes Motors",VLOOKUP(K42,#REF!,38)*G42,IF(C42="NonRes Office Equipment",VLOOKUP(K42,#REF!,40)*G42,IF(C42="NonRes Process",VLOOKUP(K42,#REF!,42)*G42,IF(C42="NonRes Refrigeration",VLOOKUP(K42,#REF!,44)*G42,IF(C42="NonRes Ventilation",VLOOKUP(K42,#REF!,46)*G42,0))))))))))))))))))))))</f>
        <v>0</v>
      </c>
      <c r="U42" s="18">
        <f>IF(D42="Annual",VLOOKUP(K42,#REF!,4)*'3.4 - Open'!I42,IF(D42="Winter",VLOOKUP('3.4 - Open'!K42,#REF!,5)*'3.4 - Open'!I42,IF(D42="NA",0,0)))</f>
        <v>0</v>
      </c>
      <c r="V42" s="19" t="e">
        <f t="shared" si="21"/>
        <v>#DIV/0!</v>
      </c>
      <c r="W42" s="19" t="e">
        <f t="shared" si="22"/>
        <v>#DIV/0!</v>
      </c>
      <c r="X42" s="19" t="e">
        <f t="shared" si="23"/>
        <v>#DIV/0!</v>
      </c>
      <c r="Y42" s="19" t="e">
        <f t="shared" si="24"/>
        <v>#DIV/0!</v>
      </c>
      <c r="Z42" s="20" t="e">
        <f>(T42+U42+(PV(#REF!,'3.4 - Open'!K42,'3.4 - Open'!P42)*-1)+'3.4 - Open'!O42)/'3.4 - Open'!E42</f>
        <v>#REF!</v>
      </c>
      <c r="AA42" s="20" t="e">
        <f t="shared" si="34"/>
        <v>#DIV/0!</v>
      </c>
      <c r="AB42" s="21">
        <f t="shared" si="25"/>
        <v>0</v>
      </c>
      <c r="AC42" s="20">
        <f t="shared" si="26"/>
        <v>0</v>
      </c>
      <c r="AD42" s="20">
        <f t="shared" si="27"/>
        <v>0</v>
      </c>
      <c r="AE42" s="20">
        <f t="shared" si="28"/>
        <v>0</v>
      </c>
      <c r="AF42" s="19" t="e">
        <f t="shared" si="29"/>
        <v>#DIV/0!</v>
      </c>
      <c r="AG42" s="19" t="e">
        <f t="shared" si="30"/>
        <v>#DIV/0!</v>
      </c>
      <c r="AH42" s="19" t="e">
        <f t="shared" si="31"/>
        <v>#DIV/0!</v>
      </c>
      <c r="AI42" s="19" t="e">
        <f t="shared" si="32"/>
        <v>#DIV/0!</v>
      </c>
      <c r="AJ42" s="15">
        <f t="shared" si="35"/>
        <v>0</v>
      </c>
      <c r="AK42" s="19" t="e">
        <f t="shared" si="15"/>
        <v>#DIV/0!</v>
      </c>
      <c r="AL42" s="19" t="e">
        <f t="shared" si="16"/>
        <v>#DIV/0!</v>
      </c>
      <c r="AM42" s="19">
        <f t="shared" si="33"/>
        <v>0</v>
      </c>
      <c r="AN42" s="19" t="e">
        <f t="shared" si="17"/>
        <v>#DIV/0!</v>
      </c>
      <c r="AO42" s="19" t="e">
        <f t="shared" si="18"/>
        <v>#DIV/0!</v>
      </c>
      <c r="AP42" s="18" t="e">
        <f>-PV(#REF!,'3.4 - Open'!K42,'3.4 - Open'!P42)*'3.4 - Open'!B42</f>
        <v>#REF!</v>
      </c>
      <c r="AQ42" s="19" t="e">
        <f t="shared" si="19"/>
        <v>#REF!</v>
      </c>
      <c r="AR42" s="19" t="e">
        <f t="shared" si="20"/>
        <v>#REF!</v>
      </c>
      <c r="AS42" s="18" t="e">
        <f>B42*G42*K42*#REF!</f>
        <v>#REF!</v>
      </c>
      <c r="AT42" s="19" t="e">
        <f>B42*I42*K42*#REF!</f>
        <v>#REF!</v>
      </c>
      <c r="AU42" s="24"/>
      <c r="AV42" s="24"/>
      <c r="AW42" s="24"/>
      <c r="AX42" s="24"/>
      <c r="AY42" s="24"/>
    </row>
    <row r="43" spans="1:51" x14ac:dyDescent="0.25">
      <c r="A43" s="14"/>
      <c r="B43" s="14"/>
      <c r="C43" s="14"/>
      <c r="D43" s="14" t="s">
        <v>24</v>
      </c>
      <c r="E43" s="15"/>
      <c r="F43" s="15"/>
      <c r="G43" s="14"/>
      <c r="H43" s="14"/>
      <c r="I43" s="14"/>
      <c r="J43" s="14"/>
      <c r="K43" s="14"/>
      <c r="L43" s="14"/>
      <c r="M43" s="15"/>
      <c r="N43" s="15"/>
      <c r="O43" s="15"/>
      <c r="P43" s="15"/>
      <c r="Q43" s="15"/>
      <c r="R43" s="15"/>
      <c r="S43" s="15"/>
      <c r="T43" s="18">
        <f>IF(C43="Res Space Heat",VLOOKUP(K43,#REF!,4)*G43,IF(C43="Res AC",VLOOKUP(K43,#REF!,6)*G43,IF(C43="Res Lighting",VLOOKUP(K43,#REF!,8)*G43,IF(C43="Res Refrigeration",VLOOKUP(K43,#REF!,10)*G43,IF(C43="Res Water Heating",VLOOKUP(K43,#REF!,12)*G43,IF(C43="Res Dishwasher",VLOOKUP(K43,#REF!,14)*G43,IF(C43="Res Washer Dryer",VLOOKUP(K43,#REF!,16)*G43,IF(C43="Res Misc",VLOOKUP(K43,#REF!,18)*G43,IF(C43="Res Furnace Fan",VLOOKUP(K43,#REF!,20)*G43,IF(C43="NonRes Compressed Air",VLOOKUP(K43,#REF!,22)*G43,IF(C43="NonRes Cooking",VLOOKUP(K43,#REF!,24)*G43,IF(C43="NonRes Space Cooling",VLOOKUP(K43,#REF!,26)*G43,IF(C43="NonRes Exterior Lighting",VLOOKUP(K43,#REF!,28)*G43,IF(C43="NonRes Space Heating",VLOOKUP(K43,#REF!,30)*G43,IF(C43="NonRes Water Heating",VLOOKUP(K43,#REF!,32)*G43,IF(C43="NonRes Interior Lighting",VLOOKUP(K43,#REF!,34)*G43,IF(C43="NonRes Misc",VLOOKUP(K43,#REF!,36)*G43,IF(C43="NonRes Motors",VLOOKUP(K43,#REF!,38)*G43,IF(C43="NonRes Office Equipment",VLOOKUP(K43,#REF!,40)*G43,IF(C43="NonRes Process",VLOOKUP(K43,#REF!,42)*G43,IF(C43="NonRes Refrigeration",VLOOKUP(K43,#REF!,44)*G43,IF(C43="NonRes Ventilation",VLOOKUP(K43,#REF!,46)*G43,0))))))))))))))))))))))</f>
        <v>0</v>
      </c>
      <c r="U43" s="18">
        <f>IF(D43="Annual",VLOOKUP(K43,#REF!,4)*'3.4 - Open'!I43,IF(D43="Winter",VLOOKUP('3.4 - Open'!K43,#REF!,5)*'3.4 - Open'!I43,IF(D43="NA",0,0)))</f>
        <v>0</v>
      </c>
      <c r="V43" s="19" t="e">
        <f t="shared" si="21"/>
        <v>#DIV/0!</v>
      </c>
      <c r="W43" s="19" t="e">
        <f t="shared" si="22"/>
        <v>#DIV/0!</v>
      </c>
      <c r="X43" s="19" t="e">
        <f t="shared" si="23"/>
        <v>#DIV/0!</v>
      </c>
      <c r="Y43" s="19" t="e">
        <f t="shared" si="24"/>
        <v>#DIV/0!</v>
      </c>
      <c r="Z43" s="20" t="e">
        <f>(T43+U43+(PV(#REF!,'3.4 - Open'!K43,'3.4 - Open'!P43)*-1)+'3.4 - Open'!O43)/'3.4 - Open'!E43</f>
        <v>#REF!</v>
      </c>
      <c r="AA43" s="20" t="e">
        <f t="shared" si="34"/>
        <v>#DIV/0!</v>
      </c>
      <c r="AB43" s="21">
        <f t="shared" si="25"/>
        <v>0</v>
      </c>
      <c r="AC43" s="20">
        <f t="shared" si="26"/>
        <v>0</v>
      </c>
      <c r="AD43" s="20">
        <f t="shared" si="27"/>
        <v>0</v>
      </c>
      <c r="AE43" s="20">
        <f t="shared" si="28"/>
        <v>0</v>
      </c>
      <c r="AF43" s="19" t="e">
        <f t="shared" si="29"/>
        <v>#DIV/0!</v>
      </c>
      <c r="AG43" s="19" t="e">
        <f t="shared" si="30"/>
        <v>#DIV/0!</v>
      </c>
      <c r="AH43" s="19" t="e">
        <f t="shared" si="31"/>
        <v>#DIV/0!</v>
      </c>
      <c r="AI43" s="19" t="e">
        <f t="shared" si="32"/>
        <v>#DIV/0!</v>
      </c>
      <c r="AJ43" s="15">
        <f t="shared" si="35"/>
        <v>0</v>
      </c>
      <c r="AK43" s="19" t="e">
        <f t="shared" si="15"/>
        <v>#DIV/0!</v>
      </c>
      <c r="AL43" s="19" t="e">
        <f t="shared" si="16"/>
        <v>#DIV/0!</v>
      </c>
      <c r="AM43" s="19">
        <f t="shared" si="33"/>
        <v>0</v>
      </c>
      <c r="AN43" s="19" t="e">
        <f t="shared" si="17"/>
        <v>#DIV/0!</v>
      </c>
      <c r="AO43" s="19" t="e">
        <f t="shared" si="18"/>
        <v>#DIV/0!</v>
      </c>
      <c r="AP43" s="18" t="e">
        <f>-PV(#REF!,'3.4 - Open'!K43,'3.4 - Open'!P43)*'3.4 - Open'!B43</f>
        <v>#REF!</v>
      </c>
      <c r="AQ43" s="19" t="e">
        <f t="shared" si="19"/>
        <v>#REF!</v>
      </c>
      <c r="AR43" s="19" t="e">
        <f t="shared" si="20"/>
        <v>#REF!</v>
      </c>
      <c r="AS43" s="18" t="e">
        <f>B43*G43*K43*#REF!</f>
        <v>#REF!</v>
      </c>
      <c r="AT43" s="19" t="e">
        <f>B43*I43*K43*#REF!</f>
        <v>#REF!</v>
      </c>
      <c r="AU43" s="24"/>
      <c r="AV43" s="24"/>
      <c r="AW43" s="24"/>
      <c r="AX43" s="24"/>
      <c r="AY43" s="24"/>
    </row>
    <row r="44" spans="1:51" x14ac:dyDescent="0.25">
      <c r="A44" s="14"/>
      <c r="B44" s="14"/>
      <c r="C44" s="14"/>
      <c r="D44" s="14" t="s">
        <v>24</v>
      </c>
      <c r="E44" s="15"/>
      <c r="F44" s="15"/>
      <c r="G44" s="14"/>
      <c r="H44" s="14"/>
      <c r="I44" s="14"/>
      <c r="J44" s="14"/>
      <c r="K44" s="14"/>
      <c r="L44" s="14"/>
      <c r="M44" s="15"/>
      <c r="N44" s="15"/>
      <c r="O44" s="15"/>
      <c r="P44" s="15"/>
      <c r="Q44" s="15"/>
      <c r="R44" s="15"/>
      <c r="S44" s="15"/>
      <c r="T44" s="18">
        <f>IF(C44="Res Space Heat",VLOOKUP(K44,#REF!,4)*G44,IF(C44="Res AC",VLOOKUP(K44,#REF!,6)*G44,IF(C44="Res Lighting",VLOOKUP(K44,#REF!,8)*G44,IF(C44="Res Refrigeration",VLOOKUP(K44,#REF!,10)*G44,IF(C44="Res Water Heating",VLOOKUP(K44,#REF!,12)*G44,IF(C44="Res Dishwasher",VLOOKUP(K44,#REF!,14)*G44,IF(C44="Res Washer Dryer",VLOOKUP(K44,#REF!,16)*G44,IF(C44="Res Misc",VLOOKUP(K44,#REF!,18)*G44,IF(C44="Res Furnace Fan",VLOOKUP(K44,#REF!,20)*G44,IF(C44="NonRes Compressed Air",VLOOKUP(K44,#REF!,22)*G44,IF(C44="NonRes Cooking",VLOOKUP(K44,#REF!,24)*G44,IF(C44="NonRes Space Cooling",VLOOKUP(K44,#REF!,26)*G44,IF(C44="NonRes Exterior Lighting",VLOOKUP(K44,#REF!,28)*G44,IF(C44="NonRes Space Heating",VLOOKUP(K44,#REF!,30)*G44,IF(C44="NonRes Water Heating",VLOOKUP(K44,#REF!,32)*G44,IF(C44="NonRes Interior Lighting",VLOOKUP(K44,#REF!,34)*G44,IF(C44="NonRes Misc",VLOOKUP(K44,#REF!,36)*G44,IF(C44="NonRes Motors",VLOOKUP(K44,#REF!,38)*G44,IF(C44="NonRes Office Equipment",VLOOKUP(K44,#REF!,40)*G44,IF(C44="NonRes Process",VLOOKUP(K44,#REF!,42)*G44,IF(C44="NonRes Refrigeration",VLOOKUP(K44,#REF!,44)*G44,IF(C44="NonRes Ventilation",VLOOKUP(K44,#REF!,46)*G44,0))))))))))))))))))))))</f>
        <v>0</v>
      </c>
      <c r="U44" s="18">
        <f>IF(D44="Annual",VLOOKUP(K44,#REF!,4)*'3.4 - Open'!I44,IF(D44="Winter",VLOOKUP('3.4 - Open'!K44,#REF!,5)*'3.4 - Open'!I44,IF(D44="NA",0,0)))</f>
        <v>0</v>
      </c>
      <c r="V44" s="19" t="e">
        <f t="shared" si="21"/>
        <v>#DIV/0!</v>
      </c>
      <c r="W44" s="19" t="e">
        <f t="shared" si="22"/>
        <v>#DIV/0!</v>
      </c>
      <c r="X44" s="19" t="e">
        <f t="shared" si="23"/>
        <v>#DIV/0!</v>
      </c>
      <c r="Y44" s="19" t="e">
        <f t="shared" si="24"/>
        <v>#DIV/0!</v>
      </c>
      <c r="Z44" s="20" t="e">
        <f>(T44+U44+(PV(#REF!,'3.4 - Open'!K44,'3.4 - Open'!P44)*-1)+'3.4 - Open'!O44)/'3.4 - Open'!E44</f>
        <v>#REF!</v>
      </c>
      <c r="AA44" s="20" t="e">
        <f t="shared" si="34"/>
        <v>#DIV/0!</v>
      </c>
      <c r="AB44" s="21">
        <f t="shared" si="25"/>
        <v>0</v>
      </c>
      <c r="AC44" s="20">
        <f t="shared" si="26"/>
        <v>0</v>
      </c>
      <c r="AD44" s="20">
        <f t="shared" si="27"/>
        <v>0</v>
      </c>
      <c r="AE44" s="20">
        <f t="shared" si="28"/>
        <v>0</v>
      </c>
      <c r="AF44" s="19" t="e">
        <f t="shared" si="29"/>
        <v>#DIV/0!</v>
      </c>
      <c r="AG44" s="19" t="e">
        <f t="shared" si="30"/>
        <v>#DIV/0!</v>
      </c>
      <c r="AH44" s="19" t="e">
        <f t="shared" si="31"/>
        <v>#DIV/0!</v>
      </c>
      <c r="AI44" s="19" t="e">
        <f t="shared" si="32"/>
        <v>#DIV/0!</v>
      </c>
      <c r="AJ44" s="15">
        <f t="shared" si="35"/>
        <v>0</v>
      </c>
      <c r="AK44" s="19" t="e">
        <f t="shared" si="15"/>
        <v>#DIV/0!</v>
      </c>
      <c r="AL44" s="19" t="e">
        <f t="shared" si="16"/>
        <v>#DIV/0!</v>
      </c>
      <c r="AM44" s="19">
        <f t="shared" si="33"/>
        <v>0</v>
      </c>
      <c r="AN44" s="19" t="e">
        <f t="shared" si="17"/>
        <v>#DIV/0!</v>
      </c>
      <c r="AO44" s="19" t="e">
        <f t="shared" si="18"/>
        <v>#DIV/0!</v>
      </c>
      <c r="AP44" s="18" t="e">
        <f>-PV(#REF!,'3.4 - Open'!K44,'3.4 - Open'!P44)*'3.4 - Open'!B44</f>
        <v>#REF!</v>
      </c>
      <c r="AQ44" s="19" t="e">
        <f t="shared" si="19"/>
        <v>#REF!</v>
      </c>
      <c r="AR44" s="19" t="e">
        <f t="shared" si="20"/>
        <v>#REF!</v>
      </c>
      <c r="AS44" s="18" t="e">
        <f>B44*G44*K44*#REF!</f>
        <v>#REF!</v>
      </c>
      <c r="AT44" s="19" t="e">
        <f>B44*I44*K44*#REF!</f>
        <v>#REF!</v>
      </c>
      <c r="AU44" s="24"/>
      <c r="AV44" s="24"/>
      <c r="AW44" s="24"/>
      <c r="AX44" s="24"/>
      <c r="AY44" s="24"/>
    </row>
    <row r="45" spans="1:51" x14ac:dyDescent="0.25">
      <c r="A45" s="14"/>
      <c r="B45" s="14"/>
      <c r="C45" s="14"/>
      <c r="D45" s="14" t="s">
        <v>24</v>
      </c>
      <c r="E45" s="15"/>
      <c r="F45" s="15"/>
      <c r="G45" s="14"/>
      <c r="H45" s="14"/>
      <c r="I45" s="14"/>
      <c r="J45" s="14"/>
      <c r="K45" s="14"/>
      <c r="L45" s="14"/>
      <c r="M45" s="15"/>
      <c r="N45" s="15"/>
      <c r="O45" s="15"/>
      <c r="P45" s="15"/>
      <c r="Q45" s="15"/>
      <c r="R45" s="15"/>
      <c r="S45" s="15"/>
      <c r="T45" s="18">
        <f>IF(C45="Res Space Heat",VLOOKUP(K45,#REF!,4)*G45,IF(C45="Res AC",VLOOKUP(K45,#REF!,6)*G45,IF(C45="Res Lighting",VLOOKUP(K45,#REF!,8)*G45,IF(C45="Res Refrigeration",VLOOKUP(K45,#REF!,10)*G45,IF(C45="Res Water Heating",VLOOKUP(K45,#REF!,12)*G45,IF(C45="Res Dishwasher",VLOOKUP(K45,#REF!,14)*G45,IF(C45="Res Washer Dryer",VLOOKUP(K45,#REF!,16)*G45,IF(C45="Res Misc",VLOOKUP(K45,#REF!,18)*G45,IF(C45="Res Furnace Fan",VLOOKUP(K45,#REF!,20)*G45,IF(C45="NonRes Compressed Air",VLOOKUP(K45,#REF!,22)*G45,IF(C45="NonRes Cooking",VLOOKUP(K45,#REF!,24)*G45,IF(C45="NonRes Space Cooling",VLOOKUP(K45,#REF!,26)*G45,IF(C45="NonRes Exterior Lighting",VLOOKUP(K45,#REF!,28)*G45,IF(C45="NonRes Space Heating",VLOOKUP(K45,#REF!,30)*G45,IF(C45="NonRes Water Heating",VLOOKUP(K45,#REF!,32)*G45,IF(C45="NonRes Interior Lighting",VLOOKUP(K45,#REF!,34)*G45,IF(C45="NonRes Misc",VLOOKUP(K45,#REF!,36)*G45,IF(C45="NonRes Motors",VLOOKUP(K45,#REF!,38)*G45,IF(C45="NonRes Office Equipment",VLOOKUP(K45,#REF!,40)*G45,IF(C45="NonRes Process",VLOOKUP(K45,#REF!,42)*G45,IF(C45="NonRes Refrigeration",VLOOKUP(K45,#REF!,44)*G45,IF(C45="NonRes Ventilation",VLOOKUP(K45,#REF!,46)*G45,0))))))))))))))))))))))</f>
        <v>0</v>
      </c>
      <c r="U45" s="18">
        <f>IF(D45="Annual",VLOOKUP(K45,#REF!,4)*'3.4 - Open'!I45,IF(D45="Winter",VLOOKUP('3.4 - Open'!K45,#REF!,5)*'3.4 - Open'!I45,IF(D45="NA",0,0)))</f>
        <v>0</v>
      </c>
      <c r="V45" s="19" t="e">
        <f t="shared" si="21"/>
        <v>#DIV/0!</v>
      </c>
      <c r="W45" s="19" t="e">
        <f t="shared" si="22"/>
        <v>#DIV/0!</v>
      </c>
      <c r="X45" s="19" t="e">
        <f t="shared" si="23"/>
        <v>#DIV/0!</v>
      </c>
      <c r="Y45" s="19" t="e">
        <f t="shared" si="24"/>
        <v>#DIV/0!</v>
      </c>
      <c r="Z45" s="20" t="e">
        <f>(T45+U45+(PV(#REF!,'3.4 - Open'!K45,'3.4 - Open'!P45)*-1)+'3.4 - Open'!O45)/'3.4 - Open'!E45</f>
        <v>#REF!</v>
      </c>
      <c r="AA45" s="20" t="e">
        <f t="shared" si="34"/>
        <v>#DIV/0!</v>
      </c>
      <c r="AB45" s="21">
        <f t="shared" si="25"/>
        <v>0</v>
      </c>
      <c r="AC45" s="20">
        <f t="shared" si="26"/>
        <v>0</v>
      </c>
      <c r="AD45" s="20">
        <f t="shared" si="27"/>
        <v>0</v>
      </c>
      <c r="AE45" s="20">
        <f t="shared" si="28"/>
        <v>0</v>
      </c>
      <c r="AF45" s="19" t="e">
        <f t="shared" si="29"/>
        <v>#DIV/0!</v>
      </c>
      <c r="AG45" s="19" t="e">
        <f t="shared" si="30"/>
        <v>#DIV/0!</v>
      </c>
      <c r="AH45" s="19" t="e">
        <f t="shared" si="31"/>
        <v>#DIV/0!</v>
      </c>
      <c r="AI45" s="19" t="e">
        <f t="shared" si="32"/>
        <v>#DIV/0!</v>
      </c>
      <c r="AJ45" s="15">
        <f t="shared" si="35"/>
        <v>0</v>
      </c>
      <c r="AK45" s="19" t="e">
        <f t="shared" si="15"/>
        <v>#DIV/0!</v>
      </c>
      <c r="AL45" s="19" t="e">
        <f t="shared" si="16"/>
        <v>#DIV/0!</v>
      </c>
      <c r="AM45" s="19">
        <f t="shared" si="33"/>
        <v>0</v>
      </c>
      <c r="AN45" s="19" t="e">
        <f t="shared" si="17"/>
        <v>#DIV/0!</v>
      </c>
      <c r="AO45" s="19" t="e">
        <f t="shared" si="18"/>
        <v>#DIV/0!</v>
      </c>
      <c r="AP45" s="18" t="e">
        <f>-PV(#REF!,'3.4 - Open'!K45,'3.4 - Open'!P45)*'3.4 - Open'!B45</f>
        <v>#REF!</v>
      </c>
      <c r="AQ45" s="19" t="e">
        <f t="shared" si="19"/>
        <v>#REF!</v>
      </c>
      <c r="AR45" s="19" t="e">
        <f t="shared" si="20"/>
        <v>#REF!</v>
      </c>
      <c r="AS45" s="18" t="e">
        <f>B45*G45*K45*#REF!</f>
        <v>#REF!</v>
      </c>
      <c r="AT45" s="19" t="e">
        <f>B45*I45*K45*#REF!</f>
        <v>#REF!</v>
      </c>
      <c r="AU45" s="24"/>
      <c r="AV45" s="24"/>
      <c r="AW45" s="24"/>
      <c r="AX45" s="24"/>
      <c r="AY45" s="24"/>
    </row>
    <row r="46" spans="1:51" x14ac:dyDescent="0.25">
      <c r="A46" s="14"/>
      <c r="B46" s="14"/>
      <c r="C46" s="14"/>
      <c r="D46" s="14" t="s">
        <v>24</v>
      </c>
      <c r="E46" s="15"/>
      <c r="F46" s="15"/>
      <c r="G46" s="14"/>
      <c r="H46" s="14"/>
      <c r="I46" s="14"/>
      <c r="J46" s="14"/>
      <c r="K46" s="14"/>
      <c r="L46" s="14"/>
      <c r="M46" s="15"/>
      <c r="N46" s="15"/>
      <c r="O46" s="15"/>
      <c r="P46" s="15"/>
      <c r="Q46" s="15"/>
      <c r="R46" s="15"/>
      <c r="S46" s="15"/>
      <c r="T46" s="18">
        <f>IF(C46="Res Space Heat",VLOOKUP(K46,#REF!,4)*G46,IF(C46="Res AC",VLOOKUP(K46,#REF!,6)*G46,IF(C46="Res Lighting",VLOOKUP(K46,#REF!,8)*G46,IF(C46="Res Refrigeration",VLOOKUP(K46,#REF!,10)*G46,IF(C46="Res Water Heating",VLOOKUP(K46,#REF!,12)*G46,IF(C46="Res Dishwasher",VLOOKUP(K46,#REF!,14)*G46,IF(C46="Res Washer Dryer",VLOOKUP(K46,#REF!,16)*G46,IF(C46="Res Misc",VLOOKUP(K46,#REF!,18)*G46,IF(C46="Res Furnace Fan",VLOOKUP(K46,#REF!,20)*G46,IF(C46="NonRes Compressed Air",VLOOKUP(K46,#REF!,22)*G46,IF(C46="NonRes Cooking",VLOOKUP(K46,#REF!,24)*G46,IF(C46="NonRes Space Cooling",VLOOKUP(K46,#REF!,26)*G46,IF(C46="NonRes Exterior Lighting",VLOOKUP(K46,#REF!,28)*G46,IF(C46="NonRes Space Heating",VLOOKUP(K46,#REF!,30)*G46,IF(C46="NonRes Water Heating",VLOOKUP(K46,#REF!,32)*G46,IF(C46="NonRes Interior Lighting",VLOOKUP(K46,#REF!,34)*G46,IF(C46="NonRes Misc",VLOOKUP(K46,#REF!,36)*G46,IF(C46="NonRes Motors",VLOOKUP(K46,#REF!,38)*G46,IF(C46="NonRes Office Equipment",VLOOKUP(K46,#REF!,40)*G46,IF(C46="NonRes Process",VLOOKUP(K46,#REF!,42)*G46,IF(C46="NonRes Refrigeration",VLOOKUP(K46,#REF!,44)*G46,IF(C46="NonRes Ventilation",VLOOKUP(K46,#REF!,46)*G46,0))))))))))))))))))))))</f>
        <v>0</v>
      </c>
      <c r="U46" s="18">
        <f>IF(D46="Annual",VLOOKUP(K46,#REF!,4)*'3.4 - Open'!I46,IF(D46="Winter",VLOOKUP('3.4 - Open'!K46,#REF!,5)*'3.4 - Open'!I46,IF(D46="NA",0,0)))</f>
        <v>0</v>
      </c>
      <c r="V46" s="19" t="e">
        <f t="shared" si="21"/>
        <v>#DIV/0!</v>
      </c>
      <c r="W46" s="19" t="e">
        <f t="shared" si="22"/>
        <v>#DIV/0!</v>
      </c>
      <c r="X46" s="19" t="e">
        <f t="shared" si="23"/>
        <v>#DIV/0!</v>
      </c>
      <c r="Y46" s="19" t="e">
        <f t="shared" si="24"/>
        <v>#DIV/0!</v>
      </c>
      <c r="Z46" s="20" t="e">
        <f>(T46+U46+(PV(#REF!,'3.4 - Open'!K46,'3.4 - Open'!P46)*-1)+'3.4 - Open'!O46)/'3.4 - Open'!E46</f>
        <v>#REF!</v>
      </c>
      <c r="AA46" s="20" t="e">
        <f t="shared" si="34"/>
        <v>#DIV/0!</v>
      </c>
      <c r="AB46" s="21">
        <f t="shared" si="25"/>
        <v>0</v>
      </c>
      <c r="AC46" s="20">
        <f t="shared" si="26"/>
        <v>0</v>
      </c>
      <c r="AD46" s="20">
        <f t="shared" si="27"/>
        <v>0</v>
      </c>
      <c r="AE46" s="20">
        <f t="shared" si="28"/>
        <v>0</v>
      </c>
      <c r="AF46" s="19" t="e">
        <f t="shared" si="29"/>
        <v>#DIV/0!</v>
      </c>
      <c r="AG46" s="19" t="e">
        <f t="shared" si="30"/>
        <v>#DIV/0!</v>
      </c>
      <c r="AH46" s="19" t="e">
        <f t="shared" si="31"/>
        <v>#DIV/0!</v>
      </c>
      <c r="AI46" s="19" t="e">
        <f t="shared" si="32"/>
        <v>#DIV/0!</v>
      </c>
      <c r="AJ46" s="15">
        <f t="shared" si="35"/>
        <v>0</v>
      </c>
      <c r="AK46" s="19" t="e">
        <f t="shared" si="15"/>
        <v>#DIV/0!</v>
      </c>
      <c r="AL46" s="19" t="e">
        <f t="shared" si="16"/>
        <v>#DIV/0!</v>
      </c>
      <c r="AM46" s="19">
        <f t="shared" si="33"/>
        <v>0</v>
      </c>
      <c r="AN46" s="19" t="e">
        <f t="shared" si="17"/>
        <v>#DIV/0!</v>
      </c>
      <c r="AO46" s="19" t="e">
        <f t="shared" si="18"/>
        <v>#DIV/0!</v>
      </c>
      <c r="AP46" s="18" t="e">
        <f>-PV(#REF!,'3.4 - Open'!K46,'3.4 - Open'!P46)*'3.4 - Open'!B46</f>
        <v>#REF!</v>
      </c>
      <c r="AQ46" s="19" t="e">
        <f t="shared" si="19"/>
        <v>#REF!</v>
      </c>
      <c r="AR46" s="19" t="e">
        <f t="shared" si="20"/>
        <v>#REF!</v>
      </c>
      <c r="AS46" s="18" t="e">
        <f>B46*G46*K46*#REF!</f>
        <v>#REF!</v>
      </c>
      <c r="AT46" s="19" t="e">
        <f>B46*I46*K46*#REF!</f>
        <v>#REF!</v>
      </c>
      <c r="AU46" s="24"/>
      <c r="AV46" s="24"/>
      <c r="AW46" s="24"/>
      <c r="AX46" s="24"/>
      <c r="AY46" s="24"/>
    </row>
    <row r="47" spans="1:51" x14ac:dyDescent="0.25">
      <c r="A47" s="14"/>
      <c r="B47" s="14"/>
      <c r="C47" s="14"/>
      <c r="D47" s="14" t="s">
        <v>24</v>
      </c>
      <c r="E47" s="15"/>
      <c r="F47" s="15"/>
      <c r="G47" s="14"/>
      <c r="H47" s="14"/>
      <c r="I47" s="14"/>
      <c r="J47" s="14"/>
      <c r="K47" s="14"/>
      <c r="L47" s="14"/>
      <c r="M47" s="15"/>
      <c r="N47" s="15"/>
      <c r="O47" s="15"/>
      <c r="P47" s="15"/>
      <c r="Q47" s="15"/>
      <c r="R47" s="15"/>
      <c r="S47" s="15"/>
      <c r="T47" s="18">
        <f>IF(C47="Res Space Heat",VLOOKUP(K47,#REF!,4)*G47,IF(C47="Res AC",VLOOKUP(K47,#REF!,6)*G47,IF(C47="Res Lighting",VLOOKUP(K47,#REF!,8)*G47,IF(C47="Res Refrigeration",VLOOKUP(K47,#REF!,10)*G47,IF(C47="Res Water Heating",VLOOKUP(K47,#REF!,12)*G47,IF(C47="Res Dishwasher",VLOOKUP(K47,#REF!,14)*G47,IF(C47="Res Washer Dryer",VLOOKUP(K47,#REF!,16)*G47,IF(C47="Res Misc",VLOOKUP(K47,#REF!,18)*G47,IF(C47="Res Furnace Fan",VLOOKUP(K47,#REF!,20)*G47,IF(C47="NonRes Compressed Air",VLOOKUP(K47,#REF!,22)*G47,IF(C47="NonRes Cooking",VLOOKUP(K47,#REF!,24)*G47,IF(C47="NonRes Space Cooling",VLOOKUP(K47,#REF!,26)*G47,IF(C47="NonRes Exterior Lighting",VLOOKUP(K47,#REF!,28)*G47,IF(C47="NonRes Space Heating",VLOOKUP(K47,#REF!,30)*G47,IF(C47="NonRes Water Heating",VLOOKUP(K47,#REF!,32)*G47,IF(C47="NonRes Interior Lighting",VLOOKUP(K47,#REF!,34)*G47,IF(C47="NonRes Misc",VLOOKUP(K47,#REF!,36)*G47,IF(C47="NonRes Motors",VLOOKUP(K47,#REF!,38)*G47,IF(C47="NonRes Office Equipment",VLOOKUP(K47,#REF!,40)*G47,IF(C47="NonRes Process",VLOOKUP(K47,#REF!,42)*G47,IF(C47="NonRes Refrigeration",VLOOKUP(K47,#REF!,44)*G47,IF(C47="NonRes Ventilation",VLOOKUP(K47,#REF!,46)*G47,0))))))))))))))))))))))</f>
        <v>0</v>
      </c>
      <c r="U47" s="18">
        <f>IF(D47="Annual",VLOOKUP(K47,#REF!,4)*'3.4 - Open'!I47,IF(D47="Winter",VLOOKUP('3.4 - Open'!K47,#REF!,5)*'3.4 - Open'!I47,IF(D47="NA",0,0)))</f>
        <v>0</v>
      </c>
      <c r="V47" s="19" t="e">
        <f t="shared" si="21"/>
        <v>#DIV/0!</v>
      </c>
      <c r="W47" s="19" t="e">
        <f t="shared" si="22"/>
        <v>#DIV/0!</v>
      </c>
      <c r="X47" s="19" t="e">
        <f t="shared" si="23"/>
        <v>#DIV/0!</v>
      </c>
      <c r="Y47" s="19" t="e">
        <f t="shared" si="24"/>
        <v>#DIV/0!</v>
      </c>
      <c r="Z47" s="20" t="e">
        <f>(T47+U47+(PV(#REF!,'3.4 - Open'!K47,'3.4 - Open'!P47)*-1)+'3.4 - Open'!O47)/'3.4 - Open'!E47</f>
        <v>#REF!</v>
      </c>
      <c r="AA47" s="20" t="e">
        <f t="shared" si="34"/>
        <v>#DIV/0!</v>
      </c>
      <c r="AB47" s="21">
        <f t="shared" si="25"/>
        <v>0</v>
      </c>
      <c r="AC47" s="20">
        <f t="shared" si="26"/>
        <v>0</v>
      </c>
      <c r="AD47" s="20">
        <f t="shared" si="27"/>
        <v>0</v>
      </c>
      <c r="AE47" s="20">
        <f t="shared" si="28"/>
        <v>0</v>
      </c>
      <c r="AF47" s="19" t="e">
        <f t="shared" si="29"/>
        <v>#DIV/0!</v>
      </c>
      <c r="AG47" s="19" t="e">
        <f t="shared" si="30"/>
        <v>#DIV/0!</v>
      </c>
      <c r="AH47" s="19" t="e">
        <f t="shared" si="31"/>
        <v>#DIV/0!</v>
      </c>
      <c r="AI47" s="19" t="e">
        <f t="shared" si="32"/>
        <v>#DIV/0!</v>
      </c>
      <c r="AJ47" s="15">
        <f t="shared" si="35"/>
        <v>0</v>
      </c>
      <c r="AK47" s="19" t="e">
        <f t="shared" si="15"/>
        <v>#DIV/0!</v>
      </c>
      <c r="AL47" s="19" t="e">
        <f t="shared" si="16"/>
        <v>#DIV/0!</v>
      </c>
      <c r="AM47" s="19">
        <f t="shared" si="33"/>
        <v>0</v>
      </c>
      <c r="AN47" s="19" t="e">
        <f t="shared" si="17"/>
        <v>#DIV/0!</v>
      </c>
      <c r="AO47" s="19" t="e">
        <f t="shared" si="18"/>
        <v>#DIV/0!</v>
      </c>
      <c r="AP47" s="18" t="e">
        <f>-PV(#REF!,'3.4 - Open'!K47,'3.4 - Open'!P47)*'3.4 - Open'!B47</f>
        <v>#REF!</v>
      </c>
      <c r="AQ47" s="19" t="e">
        <f t="shared" si="19"/>
        <v>#REF!</v>
      </c>
      <c r="AR47" s="19" t="e">
        <f t="shared" si="20"/>
        <v>#REF!</v>
      </c>
      <c r="AS47" s="18" t="e">
        <f>B47*G47*K47*#REF!</f>
        <v>#REF!</v>
      </c>
      <c r="AT47" s="19" t="e">
        <f>B47*I47*K47*#REF!</f>
        <v>#REF!</v>
      </c>
      <c r="AU47" s="24"/>
      <c r="AV47" s="24"/>
      <c r="AW47" s="24"/>
      <c r="AX47" s="24"/>
      <c r="AY47" s="24"/>
    </row>
    <row r="48" spans="1:51" x14ac:dyDescent="0.25">
      <c r="A48" s="14"/>
      <c r="B48" s="14"/>
      <c r="C48" s="14"/>
      <c r="D48" s="14" t="s">
        <v>24</v>
      </c>
      <c r="E48" s="15"/>
      <c r="F48" s="15"/>
      <c r="G48" s="14"/>
      <c r="H48" s="14"/>
      <c r="I48" s="14"/>
      <c r="J48" s="14"/>
      <c r="K48" s="14"/>
      <c r="L48" s="14"/>
      <c r="M48" s="15"/>
      <c r="N48" s="15"/>
      <c r="O48" s="15"/>
      <c r="P48" s="15"/>
      <c r="Q48" s="15"/>
      <c r="R48" s="15"/>
      <c r="S48" s="15"/>
      <c r="T48" s="18">
        <f>IF(C48="Res Space Heat",VLOOKUP(K48,#REF!,4)*G48,IF(C48="Res AC",VLOOKUP(K48,#REF!,6)*G48,IF(C48="Res Lighting",VLOOKUP(K48,#REF!,8)*G48,IF(C48="Res Refrigeration",VLOOKUP(K48,#REF!,10)*G48,IF(C48="Res Water Heating",VLOOKUP(K48,#REF!,12)*G48,IF(C48="Res Dishwasher",VLOOKUP(K48,#REF!,14)*G48,IF(C48="Res Washer Dryer",VLOOKUP(K48,#REF!,16)*G48,IF(C48="Res Misc",VLOOKUP(K48,#REF!,18)*G48,IF(C48="Res Furnace Fan",VLOOKUP(K48,#REF!,20)*G48,IF(C48="NonRes Compressed Air",VLOOKUP(K48,#REF!,22)*G48,IF(C48="NonRes Cooking",VLOOKUP(K48,#REF!,24)*G48,IF(C48="NonRes Space Cooling",VLOOKUP(K48,#REF!,26)*G48,IF(C48="NonRes Exterior Lighting",VLOOKUP(K48,#REF!,28)*G48,IF(C48="NonRes Space Heating",VLOOKUP(K48,#REF!,30)*G48,IF(C48="NonRes Water Heating",VLOOKUP(K48,#REF!,32)*G48,IF(C48="NonRes Interior Lighting",VLOOKUP(K48,#REF!,34)*G48,IF(C48="NonRes Misc",VLOOKUP(K48,#REF!,36)*G48,IF(C48="NonRes Motors",VLOOKUP(K48,#REF!,38)*G48,IF(C48="NonRes Office Equipment",VLOOKUP(K48,#REF!,40)*G48,IF(C48="NonRes Process",VLOOKUP(K48,#REF!,42)*G48,IF(C48="NonRes Refrigeration",VLOOKUP(K48,#REF!,44)*G48,IF(C48="NonRes Ventilation",VLOOKUP(K48,#REF!,46)*G48,0))))))))))))))))))))))</f>
        <v>0</v>
      </c>
      <c r="U48" s="18">
        <f>IF(D48="Annual",VLOOKUP(K48,#REF!,4)*'3.4 - Open'!I48,IF(D48="Winter",VLOOKUP('3.4 - Open'!K48,#REF!,5)*'3.4 - Open'!I48,IF(D48="NA",0,0)))</f>
        <v>0</v>
      </c>
      <c r="V48" s="19" t="e">
        <f t="shared" si="21"/>
        <v>#DIV/0!</v>
      </c>
      <c r="W48" s="19" t="e">
        <f t="shared" si="22"/>
        <v>#DIV/0!</v>
      </c>
      <c r="X48" s="19" t="e">
        <f t="shared" si="23"/>
        <v>#DIV/0!</v>
      </c>
      <c r="Y48" s="19" t="e">
        <f t="shared" si="24"/>
        <v>#DIV/0!</v>
      </c>
      <c r="Z48" s="20" t="e">
        <f>(T48+U48+(PV(#REF!,'3.4 - Open'!K48,'3.4 - Open'!P48)*-1)+'3.4 - Open'!O48)/'3.4 - Open'!E48</f>
        <v>#REF!</v>
      </c>
      <c r="AA48" s="20" t="e">
        <f t="shared" si="34"/>
        <v>#DIV/0!</v>
      </c>
      <c r="AB48" s="21">
        <f t="shared" si="25"/>
        <v>0</v>
      </c>
      <c r="AC48" s="20">
        <f t="shared" si="26"/>
        <v>0</v>
      </c>
      <c r="AD48" s="20">
        <f t="shared" si="27"/>
        <v>0</v>
      </c>
      <c r="AE48" s="20">
        <f t="shared" si="28"/>
        <v>0</v>
      </c>
      <c r="AF48" s="19" t="e">
        <f t="shared" si="29"/>
        <v>#DIV/0!</v>
      </c>
      <c r="AG48" s="19" t="e">
        <f t="shared" si="30"/>
        <v>#DIV/0!</v>
      </c>
      <c r="AH48" s="19" t="e">
        <f t="shared" si="31"/>
        <v>#DIV/0!</v>
      </c>
      <c r="AI48" s="19" t="e">
        <f t="shared" si="32"/>
        <v>#DIV/0!</v>
      </c>
      <c r="AJ48" s="15">
        <f t="shared" si="35"/>
        <v>0</v>
      </c>
      <c r="AK48" s="19" t="e">
        <f t="shared" si="15"/>
        <v>#DIV/0!</v>
      </c>
      <c r="AL48" s="19" t="e">
        <f t="shared" si="16"/>
        <v>#DIV/0!</v>
      </c>
      <c r="AM48" s="19">
        <f t="shared" si="33"/>
        <v>0</v>
      </c>
      <c r="AN48" s="19" t="e">
        <f t="shared" si="17"/>
        <v>#DIV/0!</v>
      </c>
      <c r="AO48" s="19" t="e">
        <f t="shared" si="18"/>
        <v>#DIV/0!</v>
      </c>
      <c r="AP48" s="18" t="e">
        <f>-PV(#REF!,'3.4 - Open'!K48,'3.4 - Open'!P48)*'3.4 - Open'!B48</f>
        <v>#REF!</v>
      </c>
      <c r="AQ48" s="19" t="e">
        <f t="shared" si="19"/>
        <v>#REF!</v>
      </c>
      <c r="AR48" s="19" t="e">
        <f t="shared" si="20"/>
        <v>#REF!</v>
      </c>
      <c r="AS48" s="18" t="e">
        <f>B48*G48*K48*#REF!</f>
        <v>#REF!</v>
      </c>
      <c r="AT48" s="19" t="e">
        <f>B48*I48*K48*#REF!</f>
        <v>#REF!</v>
      </c>
      <c r="AU48" s="24"/>
      <c r="AV48" s="24"/>
      <c r="AW48" s="24"/>
      <c r="AX48" s="24"/>
      <c r="AY48" s="24"/>
    </row>
    <row r="49" spans="1:51" x14ac:dyDescent="0.25">
      <c r="A49" s="14"/>
      <c r="B49" s="14"/>
      <c r="C49" s="14"/>
      <c r="D49" s="14" t="s">
        <v>24</v>
      </c>
      <c r="E49" s="15"/>
      <c r="F49" s="15"/>
      <c r="G49" s="14"/>
      <c r="H49" s="14"/>
      <c r="I49" s="14"/>
      <c r="J49" s="14"/>
      <c r="K49" s="14"/>
      <c r="L49" s="14"/>
      <c r="M49" s="15"/>
      <c r="N49" s="15"/>
      <c r="O49" s="15"/>
      <c r="P49" s="15"/>
      <c r="Q49" s="15"/>
      <c r="R49" s="15"/>
      <c r="S49" s="15"/>
      <c r="T49" s="18">
        <f>IF(C49="Res Space Heat",VLOOKUP(K49,#REF!,4)*G49,IF(C49="Res AC",VLOOKUP(K49,#REF!,6)*G49,IF(C49="Res Lighting",VLOOKUP(K49,#REF!,8)*G49,IF(C49="Res Refrigeration",VLOOKUP(K49,#REF!,10)*G49,IF(C49="Res Water Heating",VLOOKUP(K49,#REF!,12)*G49,IF(C49="Res Dishwasher",VLOOKUP(K49,#REF!,14)*G49,IF(C49="Res Washer Dryer",VLOOKUP(K49,#REF!,16)*G49,IF(C49="Res Misc",VLOOKUP(K49,#REF!,18)*G49,IF(C49="Res Furnace Fan",VLOOKUP(K49,#REF!,20)*G49,IF(C49="NonRes Compressed Air",VLOOKUP(K49,#REF!,22)*G49,IF(C49="NonRes Cooking",VLOOKUP(K49,#REF!,24)*G49,IF(C49="NonRes Space Cooling",VLOOKUP(K49,#REF!,26)*G49,IF(C49="NonRes Exterior Lighting",VLOOKUP(K49,#REF!,28)*G49,IF(C49="NonRes Space Heating",VLOOKUP(K49,#REF!,30)*G49,IF(C49="NonRes Water Heating",VLOOKUP(K49,#REF!,32)*G49,IF(C49="NonRes Interior Lighting",VLOOKUP(K49,#REF!,34)*G49,IF(C49="NonRes Misc",VLOOKUP(K49,#REF!,36)*G49,IF(C49="NonRes Motors",VLOOKUP(K49,#REF!,38)*G49,IF(C49="NonRes Office Equipment",VLOOKUP(K49,#REF!,40)*G49,IF(C49="NonRes Process",VLOOKUP(K49,#REF!,42)*G49,IF(C49="NonRes Refrigeration",VLOOKUP(K49,#REF!,44)*G49,IF(C49="NonRes Ventilation",VLOOKUP(K49,#REF!,46)*G49,0))))))))))))))))))))))</f>
        <v>0</v>
      </c>
      <c r="U49" s="18">
        <f>IF(D49="Annual",VLOOKUP(K49,#REF!,4)*'3.4 - Open'!I49,IF(D49="Winter",VLOOKUP('3.4 - Open'!K49,#REF!,5)*'3.4 - Open'!I49,IF(D49="NA",0,0)))</f>
        <v>0</v>
      </c>
      <c r="V49" s="19" t="e">
        <f t="shared" si="21"/>
        <v>#DIV/0!</v>
      </c>
      <c r="W49" s="19" t="e">
        <f t="shared" si="22"/>
        <v>#DIV/0!</v>
      </c>
      <c r="X49" s="19" t="e">
        <f t="shared" si="23"/>
        <v>#DIV/0!</v>
      </c>
      <c r="Y49" s="19" t="e">
        <f t="shared" si="24"/>
        <v>#DIV/0!</v>
      </c>
      <c r="Z49" s="20" t="e">
        <f>(T49+U49+(PV(#REF!,'3.4 - Open'!K49,'3.4 - Open'!P49)*-1)+'3.4 - Open'!O49)/'3.4 - Open'!E49</f>
        <v>#REF!</v>
      </c>
      <c r="AA49" s="20" t="e">
        <f t="shared" si="34"/>
        <v>#DIV/0!</v>
      </c>
      <c r="AB49" s="21">
        <f t="shared" si="25"/>
        <v>0</v>
      </c>
      <c r="AC49" s="20">
        <f t="shared" si="26"/>
        <v>0</v>
      </c>
      <c r="AD49" s="20">
        <f t="shared" si="27"/>
        <v>0</v>
      </c>
      <c r="AE49" s="20">
        <f t="shared" si="28"/>
        <v>0</v>
      </c>
      <c r="AF49" s="19" t="e">
        <f t="shared" si="29"/>
        <v>#DIV/0!</v>
      </c>
      <c r="AG49" s="19" t="e">
        <f t="shared" si="30"/>
        <v>#DIV/0!</v>
      </c>
      <c r="AH49" s="19" t="e">
        <f t="shared" si="31"/>
        <v>#DIV/0!</v>
      </c>
      <c r="AI49" s="19" t="e">
        <f t="shared" si="32"/>
        <v>#DIV/0!</v>
      </c>
      <c r="AJ49" s="15">
        <f t="shared" si="35"/>
        <v>0</v>
      </c>
      <c r="AK49" s="19" t="e">
        <f t="shared" si="15"/>
        <v>#DIV/0!</v>
      </c>
      <c r="AL49" s="19" t="e">
        <f t="shared" si="16"/>
        <v>#DIV/0!</v>
      </c>
      <c r="AM49" s="19">
        <f t="shared" si="33"/>
        <v>0</v>
      </c>
      <c r="AN49" s="19" t="e">
        <f t="shared" si="17"/>
        <v>#DIV/0!</v>
      </c>
      <c r="AO49" s="19" t="e">
        <f t="shared" si="18"/>
        <v>#DIV/0!</v>
      </c>
      <c r="AP49" s="18" t="e">
        <f>-PV(#REF!,'3.4 - Open'!K49,'3.4 - Open'!P49)*'3.4 - Open'!B49</f>
        <v>#REF!</v>
      </c>
      <c r="AQ49" s="19" t="e">
        <f t="shared" si="19"/>
        <v>#REF!</v>
      </c>
      <c r="AR49" s="19" t="e">
        <f t="shared" si="20"/>
        <v>#REF!</v>
      </c>
      <c r="AS49" s="18" t="e">
        <f>B49*G49*K49*#REF!</f>
        <v>#REF!</v>
      </c>
      <c r="AT49" s="19" t="e">
        <f>B49*I49*K49*#REF!</f>
        <v>#REF!</v>
      </c>
      <c r="AU49" s="24"/>
      <c r="AV49" s="24"/>
      <c r="AW49" s="24"/>
      <c r="AX49" s="24"/>
      <c r="AY49" s="24"/>
    </row>
    <row r="50" spans="1:51" x14ac:dyDescent="0.25">
      <c r="A50" s="14"/>
      <c r="B50" s="14"/>
      <c r="C50" s="14"/>
      <c r="D50" s="14" t="s">
        <v>24</v>
      </c>
      <c r="E50" s="15"/>
      <c r="F50" s="15"/>
      <c r="G50" s="14"/>
      <c r="H50" s="14"/>
      <c r="I50" s="14"/>
      <c r="J50" s="14"/>
      <c r="K50" s="14"/>
      <c r="L50" s="14"/>
      <c r="M50" s="15"/>
      <c r="N50" s="15"/>
      <c r="O50" s="15"/>
      <c r="P50" s="15"/>
      <c r="Q50" s="15"/>
      <c r="R50" s="15"/>
      <c r="S50" s="15"/>
      <c r="T50" s="18">
        <f>IF(C50="Res Space Heat",VLOOKUP(K50,#REF!,4)*G50,IF(C50="Res AC",VLOOKUP(K50,#REF!,6)*G50,IF(C50="Res Lighting",VLOOKUP(K50,#REF!,8)*G50,IF(C50="Res Refrigeration",VLOOKUP(K50,#REF!,10)*G50,IF(C50="Res Water Heating",VLOOKUP(K50,#REF!,12)*G50,IF(C50="Res Dishwasher",VLOOKUP(K50,#REF!,14)*G50,IF(C50="Res Washer Dryer",VLOOKUP(K50,#REF!,16)*G50,IF(C50="Res Misc",VLOOKUP(K50,#REF!,18)*G50,IF(C50="Res Furnace Fan",VLOOKUP(K50,#REF!,20)*G50,IF(C50="NonRes Compressed Air",VLOOKUP(K50,#REF!,22)*G50,IF(C50="NonRes Cooking",VLOOKUP(K50,#REF!,24)*G50,IF(C50="NonRes Space Cooling",VLOOKUP(K50,#REF!,26)*G50,IF(C50="NonRes Exterior Lighting",VLOOKUP(K50,#REF!,28)*G50,IF(C50="NonRes Space Heating",VLOOKUP(K50,#REF!,30)*G50,IF(C50="NonRes Water Heating",VLOOKUP(K50,#REF!,32)*G50,IF(C50="NonRes Interior Lighting",VLOOKUP(K50,#REF!,34)*G50,IF(C50="NonRes Misc",VLOOKUP(K50,#REF!,36)*G50,IF(C50="NonRes Motors",VLOOKUP(K50,#REF!,38)*G50,IF(C50="NonRes Office Equipment",VLOOKUP(K50,#REF!,40)*G50,IF(C50="NonRes Process",VLOOKUP(K50,#REF!,42)*G50,IF(C50="NonRes Refrigeration",VLOOKUP(K50,#REF!,44)*G50,IF(C50="NonRes Ventilation",VLOOKUP(K50,#REF!,46)*G50,0))))))))))))))))))))))</f>
        <v>0</v>
      </c>
      <c r="U50" s="18">
        <f>IF(D50="Annual",VLOOKUP(K50,#REF!,4)*'3.4 - Open'!I50,IF(D50="Winter",VLOOKUP('3.4 - Open'!K50,#REF!,5)*'3.4 - Open'!I50,IF(D50="NA",0,0)))</f>
        <v>0</v>
      </c>
      <c r="V50" s="19" t="e">
        <f t="shared" si="21"/>
        <v>#DIV/0!</v>
      </c>
      <c r="W50" s="19" t="e">
        <f t="shared" si="22"/>
        <v>#DIV/0!</v>
      </c>
      <c r="X50" s="19" t="e">
        <f t="shared" si="23"/>
        <v>#DIV/0!</v>
      </c>
      <c r="Y50" s="19" t="e">
        <f t="shared" si="24"/>
        <v>#DIV/0!</v>
      </c>
      <c r="Z50" s="20" t="e">
        <f>(T50+U50+(PV(#REF!,'3.4 - Open'!K50,'3.4 - Open'!P50)*-1)+'3.4 - Open'!O50)/'3.4 - Open'!E50</f>
        <v>#REF!</v>
      </c>
      <c r="AA50" s="20" t="e">
        <f t="shared" si="34"/>
        <v>#DIV/0!</v>
      </c>
      <c r="AB50" s="21">
        <f t="shared" si="25"/>
        <v>0</v>
      </c>
      <c r="AC50" s="20">
        <f t="shared" si="26"/>
        <v>0</v>
      </c>
      <c r="AD50" s="20">
        <f t="shared" si="27"/>
        <v>0</v>
      </c>
      <c r="AE50" s="20">
        <f t="shared" si="28"/>
        <v>0</v>
      </c>
      <c r="AF50" s="19" t="e">
        <f t="shared" si="29"/>
        <v>#DIV/0!</v>
      </c>
      <c r="AG50" s="19" t="e">
        <f t="shared" si="30"/>
        <v>#DIV/0!</v>
      </c>
      <c r="AH50" s="19" t="e">
        <f t="shared" si="31"/>
        <v>#DIV/0!</v>
      </c>
      <c r="AI50" s="19" t="e">
        <f t="shared" si="32"/>
        <v>#DIV/0!</v>
      </c>
      <c r="AJ50" s="15">
        <f t="shared" si="35"/>
        <v>0</v>
      </c>
      <c r="AK50" s="19" t="e">
        <f t="shared" si="15"/>
        <v>#DIV/0!</v>
      </c>
      <c r="AL50" s="19" t="e">
        <f t="shared" si="16"/>
        <v>#DIV/0!</v>
      </c>
      <c r="AM50" s="19">
        <f t="shared" si="33"/>
        <v>0</v>
      </c>
      <c r="AN50" s="19" t="e">
        <f t="shared" si="17"/>
        <v>#DIV/0!</v>
      </c>
      <c r="AO50" s="19" t="e">
        <f t="shared" si="18"/>
        <v>#DIV/0!</v>
      </c>
      <c r="AP50" s="18" t="e">
        <f>-PV(#REF!,'3.4 - Open'!K50,'3.4 - Open'!P50)*'3.4 - Open'!B50</f>
        <v>#REF!</v>
      </c>
      <c r="AQ50" s="19" t="e">
        <f t="shared" si="19"/>
        <v>#REF!</v>
      </c>
      <c r="AR50" s="19" t="e">
        <f t="shared" si="20"/>
        <v>#REF!</v>
      </c>
      <c r="AS50" s="18" t="e">
        <f>B50*G50*K50*#REF!</f>
        <v>#REF!</v>
      </c>
      <c r="AT50" s="19" t="e">
        <f>B50*I50*K50*#REF!</f>
        <v>#REF!</v>
      </c>
      <c r="AU50" s="24"/>
      <c r="AV50" s="24"/>
      <c r="AW50" s="24"/>
      <c r="AX50" s="24"/>
      <c r="AY50" s="24"/>
    </row>
    <row r="51" spans="1:51" x14ac:dyDescent="0.25">
      <c r="A51" s="14"/>
      <c r="B51" s="14"/>
      <c r="C51" s="14"/>
      <c r="D51" s="14" t="s">
        <v>24</v>
      </c>
      <c r="E51" s="15"/>
      <c r="F51" s="15"/>
      <c r="G51" s="14"/>
      <c r="H51" s="14"/>
      <c r="I51" s="14"/>
      <c r="J51" s="14"/>
      <c r="K51" s="14"/>
      <c r="L51" s="14"/>
      <c r="M51" s="15"/>
      <c r="N51" s="15"/>
      <c r="O51" s="15"/>
      <c r="P51" s="15"/>
      <c r="Q51" s="15"/>
      <c r="R51" s="15"/>
      <c r="S51" s="15"/>
      <c r="T51" s="18">
        <f>IF(C51="Res Space Heat",VLOOKUP(K51,#REF!,4)*G51,IF(C51="Res AC",VLOOKUP(K51,#REF!,6)*G51,IF(C51="Res Lighting",VLOOKUP(K51,#REF!,8)*G51,IF(C51="Res Refrigeration",VLOOKUP(K51,#REF!,10)*G51,IF(C51="Res Water Heating",VLOOKUP(K51,#REF!,12)*G51,IF(C51="Res Dishwasher",VLOOKUP(K51,#REF!,14)*G51,IF(C51="Res Washer Dryer",VLOOKUP(K51,#REF!,16)*G51,IF(C51="Res Misc",VLOOKUP(K51,#REF!,18)*G51,IF(C51="Res Furnace Fan",VLOOKUP(K51,#REF!,20)*G51,IF(C51="NonRes Compressed Air",VLOOKUP(K51,#REF!,22)*G51,IF(C51="NonRes Cooking",VLOOKUP(K51,#REF!,24)*G51,IF(C51="NonRes Space Cooling",VLOOKUP(K51,#REF!,26)*G51,IF(C51="NonRes Exterior Lighting",VLOOKUP(K51,#REF!,28)*G51,IF(C51="NonRes Space Heating",VLOOKUP(K51,#REF!,30)*G51,IF(C51="NonRes Water Heating",VLOOKUP(K51,#REF!,32)*G51,IF(C51="NonRes Interior Lighting",VLOOKUP(K51,#REF!,34)*G51,IF(C51="NonRes Misc",VLOOKUP(K51,#REF!,36)*G51,IF(C51="NonRes Motors",VLOOKUP(K51,#REF!,38)*G51,IF(C51="NonRes Office Equipment",VLOOKUP(K51,#REF!,40)*G51,IF(C51="NonRes Process",VLOOKUP(K51,#REF!,42)*G51,IF(C51="NonRes Refrigeration",VLOOKUP(K51,#REF!,44)*G51,IF(C51="NonRes Ventilation",VLOOKUP(K51,#REF!,46)*G51,0))))))))))))))))))))))</f>
        <v>0</v>
      </c>
      <c r="U51" s="18">
        <f>IF(D51="Annual",VLOOKUP(K51,#REF!,4)*'3.4 - Open'!I51,IF(D51="Winter",VLOOKUP('3.4 - Open'!K51,#REF!,5)*'3.4 - Open'!I51,IF(D51="NA",0,0)))</f>
        <v>0</v>
      </c>
      <c r="V51" s="19" t="e">
        <f t="shared" si="21"/>
        <v>#DIV/0!</v>
      </c>
      <c r="W51" s="19" t="e">
        <f t="shared" si="22"/>
        <v>#DIV/0!</v>
      </c>
      <c r="X51" s="19" t="e">
        <f t="shared" si="23"/>
        <v>#DIV/0!</v>
      </c>
      <c r="Y51" s="19" t="e">
        <f t="shared" si="24"/>
        <v>#DIV/0!</v>
      </c>
      <c r="Z51" s="20" t="e">
        <f>(T51+U51+(PV(#REF!,'3.4 - Open'!K51,'3.4 - Open'!P51)*-1)+'3.4 - Open'!O51)/'3.4 - Open'!E51</f>
        <v>#REF!</v>
      </c>
      <c r="AA51" s="20" t="e">
        <f t="shared" si="34"/>
        <v>#DIV/0!</v>
      </c>
      <c r="AB51" s="21">
        <f t="shared" si="25"/>
        <v>0</v>
      </c>
      <c r="AC51" s="20">
        <f t="shared" si="26"/>
        <v>0</v>
      </c>
      <c r="AD51" s="20">
        <f t="shared" si="27"/>
        <v>0</v>
      </c>
      <c r="AE51" s="20">
        <f t="shared" si="28"/>
        <v>0</v>
      </c>
      <c r="AF51" s="19" t="e">
        <f t="shared" si="29"/>
        <v>#DIV/0!</v>
      </c>
      <c r="AG51" s="19" t="e">
        <f t="shared" si="30"/>
        <v>#DIV/0!</v>
      </c>
      <c r="AH51" s="19" t="e">
        <f t="shared" si="31"/>
        <v>#DIV/0!</v>
      </c>
      <c r="AI51" s="19" t="e">
        <f t="shared" si="32"/>
        <v>#DIV/0!</v>
      </c>
      <c r="AJ51" s="15">
        <f t="shared" si="35"/>
        <v>0</v>
      </c>
      <c r="AK51" s="19" t="e">
        <f t="shared" si="15"/>
        <v>#DIV/0!</v>
      </c>
      <c r="AL51" s="19" t="e">
        <f t="shared" si="16"/>
        <v>#DIV/0!</v>
      </c>
      <c r="AM51" s="19">
        <f t="shared" si="33"/>
        <v>0</v>
      </c>
      <c r="AN51" s="19" t="e">
        <f t="shared" si="17"/>
        <v>#DIV/0!</v>
      </c>
      <c r="AO51" s="19" t="e">
        <f t="shared" si="18"/>
        <v>#DIV/0!</v>
      </c>
      <c r="AP51" s="18" t="e">
        <f>-PV(#REF!,'3.4 - Open'!K51,'3.4 - Open'!P51)*'3.4 - Open'!B51</f>
        <v>#REF!</v>
      </c>
      <c r="AQ51" s="19" t="e">
        <f t="shared" si="19"/>
        <v>#REF!</v>
      </c>
      <c r="AR51" s="19" t="e">
        <f t="shared" si="20"/>
        <v>#REF!</v>
      </c>
      <c r="AS51" s="18" t="e">
        <f>B51*G51*K51*#REF!</f>
        <v>#REF!</v>
      </c>
      <c r="AT51" s="19" t="e">
        <f>B51*I51*K51*#REF!</f>
        <v>#REF!</v>
      </c>
      <c r="AU51" s="24"/>
      <c r="AV51" s="24"/>
      <c r="AW51" s="24"/>
      <c r="AX51" s="24"/>
      <c r="AY51" s="24"/>
    </row>
    <row r="52" spans="1:51" x14ac:dyDescent="0.25">
      <c r="A52" s="14"/>
      <c r="B52" s="14"/>
      <c r="C52" s="14"/>
      <c r="D52" s="14" t="s">
        <v>24</v>
      </c>
      <c r="E52" s="15"/>
      <c r="F52" s="15"/>
      <c r="G52" s="14"/>
      <c r="H52" s="14"/>
      <c r="I52" s="14"/>
      <c r="J52" s="14"/>
      <c r="K52" s="14"/>
      <c r="L52" s="14"/>
      <c r="M52" s="15"/>
      <c r="N52" s="15"/>
      <c r="O52" s="15"/>
      <c r="P52" s="15"/>
      <c r="Q52" s="15"/>
      <c r="R52" s="15"/>
      <c r="S52" s="15"/>
      <c r="T52" s="18">
        <f>IF(C52="Res Space Heat",VLOOKUP(K52,#REF!,4)*G52,IF(C52="Res AC",VLOOKUP(K52,#REF!,6)*G52,IF(C52="Res Lighting",VLOOKUP(K52,#REF!,8)*G52,IF(C52="Res Refrigeration",VLOOKUP(K52,#REF!,10)*G52,IF(C52="Res Water Heating",VLOOKUP(K52,#REF!,12)*G52,IF(C52="Res Dishwasher",VLOOKUP(K52,#REF!,14)*G52,IF(C52="Res Washer Dryer",VLOOKUP(K52,#REF!,16)*G52,IF(C52="Res Misc",VLOOKUP(K52,#REF!,18)*G52,IF(C52="Res Furnace Fan",VLOOKUP(K52,#REF!,20)*G52,IF(C52="NonRes Compressed Air",VLOOKUP(K52,#REF!,22)*G52,IF(C52="NonRes Cooking",VLOOKUP(K52,#REF!,24)*G52,IF(C52="NonRes Space Cooling",VLOOKUP(K52,#REF!,26)*G52,IF(C52="NonRes Exterior Lighting",VLOOKUP(K52,#REF!,28)*G52,IF(C52="NonRes Space Heating",VLOOKUP(K52,#REF!,30)*G52,IF(C52="NonRes Water Heating",VLOOKUP(K52,#REF!,32)*G52,IF(C52="NonRes Interior Lighting",VLOOKUP(K52,#REF!,34)*G52,IF(C52="NonRes Misc",VLOOKUP(K52,#REF!,36)*G52,IF(C52="NonRes Motors",VLOOKUP(K52,#REF!,38)*G52,IF(C52="NonRes Office Equipment",VLOOKUP(K52,#REF!,40)*G52,IF(C52="NonRes Process",VLOOKUP(K52,#REF!,42)*G52,IF(C52="NonRes Refrigeration",VLOOKUP(K52,#REF!,44)*G52,IF(C52="NonRes Ventilation",VLOOKUP(K52,#REF!,46)*G52,0))))))))))))))))))))))</f>
        <v>0</v>
      </c>
      <c r="U52" s="18">
        <f>IF(D52="Annual",VLOOKUP(K52,#REF!,4)*'3.4 - Open'!I52,IF(D52="Winter",VLOOKUP('3.4 - Open'!K52,#REF!,5)*'3.4 - Open'!I52,IF(D52="NA",0,0)))</f>
        <v>0</v>
      </c>
      <c r="V52" s="19" t="e">
        <f t="shared" si="21"/>
        <v>#DIV/0!</v>
      </c>
      <c r="W52" s="19" t="e">
        <f t="shared" si="22"/>
        <v>#DIV/0!</v>
      </c>
      <c r="X52" s="19" t="e">
        <f t="shared" si="23"/>
        <v>#DIV/0!</v>
      </c>
      <c r="Y52" s="19" t="e">
        <f t="shared" si="24"/>
        <v>#DIV/0!</v>
      </c>
      <c r="Z52" s="20" t="e">
        <f>(T52+U52+(PV(#REF!,'3.4 - Open'!K52,'3.4 - Open'!P52)*-1)+'3.4 - Open'!O52)/'3.4 - Open'!E52</f>
        <v>#REF!</v>
      </c>
      <c r="AA52" s="20" t="e">
        <f t="shared" si="34"/>
        <v>#DIV/0!</v>
      </c>
      <c r="AB52" s="21">
        <f t="shared" si="25"/>
        <v>0</v>
      </c>
      <c r="AC52" s="20">
        <f t="shared" si="26"/>
        <v>0</v>
      </c>
      <c r="AD52" s="20">
        <f t="shared" si="27"/>
        <v>0</v>
      </c>
      <c r="AE52" s="20">
        <f t="shared" si="28"/>
        <v>0</v>
      </c>
      <c r="AF52" s="19" t="e">
        <f t="shared" si="29"/>
        <v>#DIV/0!</v>
      </c>
      <c r="AG52" s="19" t="e">
        <f t="shared" si="30"/>
        <v>#DIV/0!</v>
      </c>
      <c r="AH52" s="19" t="e">
        <f t="shared" si="31"/>
        <v>#DIV/0!</v>
      </c>
      <c r="AI52" s="19" t="e">
        <f t="shared" si="32"/>
        <v>#DIV/0!</v>
      </c>
      <c r="AJ52" s="15">
        <f t="shared" si="35"/>
        <v>0</v>
      </c>
      <c r="AK52" s="19" t="e">
        <f t="shared" si="15"/>
        <v>#DIV/0!</v>
      </c>
      <c r="AL52" s="19" t="e">
        <f t="shared" si="16"/>
        <v>#DIV/0!</v>
      </c>
      <c r="AM52" s="19">
        <f t="shared" si="33"/>
        <v>0</v>
      </c>
      <c r="AN52" s="19" t="e">
        <f t="shared" si="17"/>
        <v>#DIV/0!</v>
      </c>
      <c r="AO52" s="19" t="e">
        <f t="shared" si="18"/>
        <v>#DIV/0!</v>
      </c>
      <c r="AP52" s="18" t="e">
        <f>-PV(#REF!,'3.4 - Open'!K52,'3.4 - Open'!P52)*'3.4 - Open'!B52</f>
        <v>#REF!</v>
      </c>
      <c r="AQ52" s="19" t="e">
        <f t="shared" si="19"/>
        <v>#REF!</v>
      </c>
      <c r="AR52" s="19" t="e">
        <f t="shared" si="20"/>
        <v>#REF!</v>
      </c>
      <c r="AS52" s="18" t="e">
        <f>B52*G52*K52*#REF!</f>
        <v>#REF!</v>
      </c>
      <c r="AT52" s="19" t="e">
        <f>B52*I52*K52*#REF!</f>
        <v>#REF!</v>
      </c>
      <c r="AU52" s="24"/>
      <c r="AV52" s="24"/>
      <c r="AW52" s="24"/>
      <c r="AX52" s="24"/>
      <c r="AY52" s="24"/>
    </row>
    <row r="53" spans="1:51" x14ac:dyDescent="0.25">
      <c r="A53" s="14"/>
      <c r="B53" s="14"/>
      <c r="C53" s="14"/>
      <c r="D53" s="14" t="s">
        <v>24</v>
      </c>
      <c r="E53" s="15"/>
      <c r="F53" s="15"/>
      <c r="G53" s="14"/>
      <c r="H53" s="14"/>
      <c r="I53" s="14"/>
      <c r="J53" s="14"/>
      <c r="K53" s="14"/>
      <c r="L53" s="14"/>
      <c r="M53" s="15"/>
      <c r="N53" s="15"/>
      <c r="O53" s="15"/>
      <c r="P53" s="15"/>
      <c r="Q53" s="15"/>
      <c r="R53" s="15"/>
      <c r="S53" s="15"/>
      <c r="T53" s="18">
        <f>IF(C53="Res Space Heat",VLOOKUP(K53,#REF!,4)*G53,IF(C53="Res AC",VLOOKUP(K53,#REF!,6)*G53,IF(C53="Res Lighting",VLOOKUP(K53,#REF!,8)*G53,IF(C53="Res Refrigeration",VLOOKUP(K53,#REF!,10)*G53,IF(C53="Res Water Heating",VLOOKUP(K53,#REF!,12)*G53,IF(C53="Res Dishwasher",VLOOKUP(K53,#REF!,14)*G53,IF(C53="Res Washer Dryer",VLOOKUP(K53,#REF!,16)*G53,IF(C53="Res Misc",VLOOKUP(K53,#REF!,18)*G53,IF(C53="Res Furnace Fan",VLOOKUP(K53,#REF!,20)*G53,IF(C53="NonRes Compressed Air",VLOOKUP(K53,#REF!,22)*G53,IF(C53="NonRes Cooking",VLOOKUP(K53,#REF!,24)*G53,IF(C53="NonRes Space Cooling",VLOOKUP(K53,#REF!,26)*G53,IF(C53="NonRes Exterior Lighting",VLOOKUP(K53,#REF!,28)*G53,IF(C53="NonRes Space Heating",VLOOKUP(K53,#REF!,30)*G53,IF(C53="NonRes Water Heating",VLOOKUP(K53,#REF!,32)*G53,IF(C53="NonRes Interior Lighting",VLOOKUP(K53,#REF!,34)*G53,IF(C53="NonRes Misc",VLOOKUP(K53,#REF!,36)*G53,IF(C53="NonRes Motors",VLOOKUP(K53,#REF!,38)*G53,IF(C53="NonRes Office Equipment",VLOOKUP(K53,#REF!,40)*G53,IF(C53="NonRes Process",VLOOKUP(K53,#REF!,42)*G53,IF(C53="NonRes Refrigeration",VLOOKUP(K53,#REF!,44)*G53,IF(C53="NonRes Ventilation",VLOOKUP(K53,#REF!,46)*G53,0))))))))))))))))))))))</f>
        <v>0</v>
      </c>
      <c r="U53" s="18">
        <f>IF(D53="Annual",VLOOKUP(K53,#REF!,4)*'3.4 - Open'!I53,IF(D53="Winter",VLOOKUP('3.4 - Open'!K53,#REF!,5)*'3.4 - Open'!I53,IF(D53="NA",0,0)))</f>
        <v>0</v>
      </c>
      <c r="V53" s="19" t="e">
        <f t="shared" si="21"/>
        <v>#DIV/0!</v>
      </c>
      <c r="W53" s="19" t="e">
        <f t="shared" si="22"/>
        <v>#DIV/0!</v>
      </c>
      <c r="X53" s="19" t="e">
        <f t="shared" si="23"/>
        <v>#DIV/0!</v>
      </c>
      <c r="Y53" s="19" t="e">
        <f t="shared" si="24"/>
        <v>#DIV/0!</v>
      </c>
      <c r="Z53" s="20" t="e">
        <f>(T53+U53+(PV(#REF!,'3.4 - Open'!K53,'3.4 - Open'!P53)*-1)+'3.4 - Open'!O53)/'3.4 - Open'!E53</f>
        <v>#REF!</v>
      </c>
      <c r="AA53" s="20" t="e">
        <f t="shared" si="34"/>
        <v>#DIV/0!</v>
      </c>
      <c r="AB53" s="21">
        <f t="shared" si="25"/>
        <v>0</v>
      </c>
      <c r="AC53" s="20">
        <f t="shared" si="26"/>
        <v>0</v>
      </c>
      <c r="AD53" s="20">
        <f t="shared" si="27"/>
        <v>0</v>
      </c>
      <c r="AE53" s="20">
        <f t="shared" si="28"/>
        <v>0</v>
      </c>
      <c r="AF53" s="19" t="e">
        <f t="shared" si="29"/>
        <v>#DIV/0!</v>
      </c>
      <c r="AG53" s="19" t="e">
        <f t="shared" si="30"/>
        <v>#DIV/0!</v>
      </c>
      <c r="AH53" s="19" t="e">
        <f t="shared" si="31"/>
        <v>#DIV/0!</v>
      </c>
      <c r="AI53" s="19" t="e">
        <f t="shared" si="32"/>
        <v>#DIV/0!</v>
      </c>
      <c r="AJ53" s="15">
        <f t="shared" si="35"/>
        <v>0</v>
      </c>
      <c r="AK53" s="19" t="e">
        <f t="shared" si="15"/>
        <v>#DIV/0!</v>
      </c>
      <c r="AL53" s="19" t="e">
        <f t="shared" si="16"/>
        <v>#DIV/0!</v>
      </c>
      <c r="AM53" s="19">
        <f t="shared" si="33"/>
        <v>0</v>
      </c>
      <c r="AN53" s="19" t="e">
        <f t="shared" si="17"/>
        <v>#DIV/0!</v>
      </c>
      <c r="AO53" s="19" t="e">
        <f t="shared" si="18"/>
        <v>#DIV/0!</v>
      </c>
      <c r="AP53" s="18" t="e">
        <f>-PV(#REF!,'3.4 - Open'!K53,'3.4 - Open'!P53)*'3.4 - Open'!B53</f>
        <v>#REF!</v>
      </c>
      <c r="AQ53" s="19" t="e">
        <f t="shared" si="19"/>
        <v>#REF!</v>
      </c>
      <c r="AR53" s="19" t="e">
        <f t="shared" si="20"/>
        <v>#REF!</v>
      </c>
      <c r="AS53" s="18" t="e">
        <f>B53*G53*K53*#REF!</f>
        <v>#REF!</v>
      </c>
      <c r="AT53" s="19" t="e">
        <f>B53*I53*K53*#REF!</f>
        <v>#REF!</v>
      </c>
      <c r="AU53" s="24"/>
      <c r="AV53" s="24"/>
      <c r="AW53" s="24"/>
      <c r="AX53" s="24"/>
      <c r="AY53" s="24"/>
    </row>
    <row r="54" spans="1:51" x14ac:dyDescent="0.25">
      <c r="A54" s="14"/>
      <c r="B54" s="14"/>
      <c r="C54" s="14"/>
      <c r="D54" s="14" t="s">
        <v>24</v>
      </c>
      <c r="E54" s="15"/>
      <c r="F54" s="15"/>
      <c r="G54" s="14"/>
      <c r="H54" s="14"/>
      <c r="I54" s="14"/>
      <c r="J54" s="14"/>
      <c r="K54" s="14"/>
      <c r="L54" s="14"/>
      <c r="M54" s="15"/>
      <c r="N54" s="15"/>
      <c r="O54" s="15"/>
      <c r="P54" s="15"/>
      <c r="Q54" s="15"/>
      <c r="R54" s="15"/>
      <c r="S54" s="15"/>
      <c r="T54" s="18">
        <f>IF(C54="Res Space Heat",VLOOKUP(K54,#REF!,4)*G54,IF(C54="Res AC",VLOOKUP(K54,#REF!,6)*G54,IF(C54="Res Lighting",VLOOKUP(K54,#REF!,8)*G54,IF(C54="Res Refrigeration",VLOOKUP(K54,#REF!,10)*G54,IF(C54="Res Water Heating",VLOOKUP(K54,#REF!,12)*G54,IF(C54="Res Dishwasher",VLOOKUP(K54,#REF!,14)*G54,IF(C54="Res Washer Dryer",VLOOKUP(K54,#REF!,16)*G54,IF(C54="Res Misc",VLOOKUP(K54,#REF!,18)*G54,IF(C54="Res Furnace Fan",VLOOKUP(K54,#REF!,20)*G54,IF(C54="NonRes Compressed Air",VLOOKUP(K54,#REF!,22)*G54,IF(C54="NonRes Cooking",VLOOKUP(K54,#REF!,24)*G54,IF(C54="NonRes Space Cooling",VLOOKUP(K54,#REF!,26)*G54,IF(C54="NonRes Exterior Lighting",VLOOKUP(K54,#REF!,28)*G54,IF(C54="NonRes Space Heating",VLOOKUP(K54,#REF!,30)*G54,IF(C54="NonRes Water Heating",VLOOKUP(K54,#REF!,32)*G54,IF(C54="NonRes Interior Lighting",VLOOKUP(K54,#REF!,34)*G54,IF(C54="NonRes Misc",VLOOKUP(K54,#REF!,36)*G54,IF(C54="NonRes Motors",VLOOKUP(K54,#REF!,38)*G54,IF(C54="NonRes Office Equipment",VLOOKUP(K54,#REF!,40)*G54,IF(C54="NonRes Process",VLOOKUP(K54,#REF!,42)*G54,IF(C54="NonRes Refrigeration",VLOOKUP(K54,#REF!,44)*G54,IF(C54="NonRes Ventilation",VLOOKUP(K54,#REF!,46)*G54,0))))))))))))))))))))))</f>
        <v>0</v>
      </c>
      <c r="U54" s="18">
        <f>IF(D54="Annual",VLOOKUP(K54,#REF!,4)*'3.4 - Open'!I54,IF(D54="Winter",VLOOKUP('3.4 - Open'!K54,#REF!,5)*'3.4 - Open'!I54,IF(D54="NA",0,0)))</f>
        <v>0</v>
      </c>
      <c r="V54" s="19" t="e">
        <f t="shared" si="21"/>
        <v>#DIV/0!</v>
      </c>
      <c r="W54" s="19" t="e">
        <f t="shared" si="22"/>
        <v>#DIV/0!</v>
      </c>
      <c r="X54" s="19" t="e">
        <f t="shared" si="23"/>
        <v>#DIV/0!</v>
      </c>
      <c r="Y54" s="19" t="e">
        <f t="shared" si="24"/>
        <v>#DIV/0!</v>
      </c>
      <c r="Z54" s="20" t="e">
        <f>(T54+U54+(PV(#REF!,'3.4 - Open'!K54,'3.4 - Open'!P54)*-1)+'3.4 - Open'!O54)/'3.4 - Open'!E54</f>
        <v>#REF!</v>
      </c>
      <c r="AA54" s="20" t="e">
        <f t="shared" si="34"/>
        <v>#DIV/0!</v>
      </c>
      <c r="AB54" s="21">
        <f t="shared" si="25"/>
        <v>0</v>
      </c>
      <c r="AC54" s="20">
        <f t="shared" si="26"/>
        <v>0</v>
      </c>
      <c r="AD54" s="20">
        <f t="shared" si="27"/>
        <v>0</v>
      </c>
      <c r="AE54" s="20">
        <f t="shared" si="28"/>
        <v>0</v>
      </c>
      <c r="AF54" s="19" t="e">
        <f t="shared" si="29"/>
        <v>#DIV/0!</v>
      </c>
      <c r="AG54" s="19" t="e">
        <f t="shared" si="30"/>
        <v>#DIV/0!</v>
      </c>
      <c r="AH54" s="19" t="e">
        <f t="shared" si="31"/>
        <v>#DIV/0!</v>
      </c>
      <c r="AI54" s="19" t="e">
        <f t="shared" si="32"/>
        <v>#DIV/0!</v>
      </c>
      <c r="AJ54" s="15">
        <f t="shared" si="35"/>
        <v>0</v>
      </c>
      <c r="AK54" s="19" t="e">
        <f t="shared" si="15"/>
        <v>#DIV/0!</v>
      </c>
      <c r="AL54" s="19" t="e">
        <f t="shared" si="16"/>
        <v>#DIV/0!</v>
      </c>
      <c r="AM54" s="19">
        <f t="shared" si="33"/>
        <v>0</v>
      </c>
      <c r="AN54" s="19" t="e">
        <f t="shared" si="17"/>
        <v>#DIV/0!</v>
      </c>
      <c r="AO54" s="19" t="e">
        <f t="shared" si="18"/>
        <v>#DIV/0!</v>
      </c>
      <c r="AP54" s="18" t="e">
        <f>-PV(#REF!,'3.4 - Open'!K54,'3.4 - Open'!P54)*'3.4 - Open'!B54</f>
        <v>#REF!</v>
      </c>
      <c r="AQ54" s="19" t="e">
        <f t="shared" si="19"/>
        <v>#REF!</v>
      </c>
      <c r="AR54" s="19" t="e">
        <f t="shared" si="20"/>
        <v>#REF!</v>
      </c>
      <c r="AS54" s="18" t="e">
        <f>B54*G54*K54*#REF!</f>
        <v>#REF!</v>
      </c>
      <c r="AT54" s="19" t="e">
        <f>B54*I54*K54*#REF!</f>
        <v>#REF!</v>
      </c>
      <c r="AU54" s="24"/>
      <c r="AV54" s="24"/>
      <c r="AW54" s="24"/>
      <c r="AX54" s="24"/>
      <c r="AY54" s="24"/>
    </row>
    <row r="55" spans="1:51" x14ac:dyDescent="0.25">
      <c r="A55" s="14"/>
      <c r="B55" s="14"/>
      <c r="C55" s="14"/>
      <c r="D55" s="14" t="s">
        <v>24</v>
      </c>
      <c r="E55" s="15"/>
      <c r="F55" s="15"/>
      <c r="G55" s="14"/>
      <c r="H55" s="14"/>
      <c r="I55" s="14"/>
      <c r="J55" s="14"/>
      <c r="K55" s="14"/>
      <c r="L55" s="14"/>
      <c r="M55" s="15"/>
      <c r="N55" s="15"/>
      <c r="O55" s="15"/>
      <c r="P55" s="15"/>
      <c r="Q55" s="15"/>
      <c r="R55" s="15"/>
      <c r="S55" s="15"/>
      <c r="T55" s="18">
        <f>IF(C55="Res Space Heat",VLOOKUP(K55,#REF!,4)*G55,IF(C55="Res AC",VLOOKUP(K55,#REF!,6)*G55,IF(C55="Res Lighting",VLOOKUP(K55,#REF!,8)*G55,IF(C55="Res Refrigeration",VLOOKUP(K55,#REF!,10)*G55,IF(C55="Res Water Heating",VLOOKUP(K55,#REF!,12)*G55,IF(C55="Res Dishwasher",VLOOKUP(K55,#REF!,14)*G55,IF(C55="Res Washer Dryer",VLOOKUP(K55,#REF!,16)*G55,IF(C55="Res Misc",VLOOKUP(K55,#REF!,18)*G55,IF(C55="Res Furnace Fan",VLOOKUP(K55,#REF!,20)*G55,IF(C55="NonRes Compressed Air",VLOOKUP(K55,#REF!,22)*G55,IF(C55="NonRes Cooking",VLOOKUP(K55,#REF!,24)*G55,IF(C55="NonRes Space Cooling",VLOOKUP(K55,#REF!,26)*G55,IF(C55="NonRes Exterior Lighting",VLOOKUP(K55,#REF!,28)*G55,IF(C55="NonRes Space Heating",VLOOKUP(K55,#REF!,30)*G55,IF(C55="NonRes Water Heating",VLOOKUP(K55,#REF!,32)*G55,IF(C55="NonRes Interior Lighting",VLOOKUP(K55,#REF!,34)*G55,IF(C55="NonRes Misc",VLOOKUP(K55,#REF!,36)*G55,IF(C55="NonRes Motors",VLOOKUP(K55,#REF!,38)*G55,IF(C55="NonRes Office Equipment",VLOOKUP(K55,#REF!,40)*G55,IF(C55="NonRes Process",VLOOKUP(K55,#REF!,42)*G55,IF(C55="NonRes Refrigeration",VLOOKUP(K55,#REF!,44)*G55,IF(C55="NonRes Ventilation",VLOOKUP(K55,#REF!,46)*G55,0))))))))))))))))))))))</f>
        <v>0</v>
      </c>
      <c r="U55" s="18">
        <f>IF(D55="Annual",VLOOKUP(K55,#REF!,4)*'3.4 - Open'!I55,IF(D55="Winter",VLOOKUP('3.4 - Open'!K55,#REF!,5)*'3.4 - Open'!I55,IF(D55="NA",0,0)))</f>
        <v>0</v>
      </c>
      <c r="V55" s="19" t="e">
        <f t="shared" si="21"/>
        <v>#DIV/0!</v>
      </c>
      <c r="W55" s="19" t="e">
        <f t="shared" si="22"/>
        <v>#DIV/0!</v>
      </c>
      <c r="X55" s="19" t="e">
        <f t="shared" si="23"/>
        <v>#DIV/0!</v>
      </c>
      <c r="Y55" s="19" t="e">
        <f t="shared" si="24"/>
        <v>#DIV/0!</v>
      </c>
      <c r="Z55" s="20" t="e">
        <f>(T55+U55+(PV(#REF!,'3.4 - Open'!K55,'3.4 - Open'!P55)*-1)+'3.4 - Open'!O55)/'3.4 - Open'!E55</f>
        <v>#REF!</v>
      </c>
      <c r="AA55" s="20" t="e">
        <f t="shared" si="34"/>
        <v>#DIV/0!</v>
      </c>
      <c r="AB55" s="21">
        <f t="shared" si="25"/>
        <v>0</v>
      </c>
      <c r="AC55" s="20">
        <f t="shared" si="26"/>
        <v>0</v>
      </c>
      <c r="AD55" s="20">
        <f t="shared" si="27"/>
        <v>0</v>
      </c>
      <c r="AE55" s="20">
        <f t="shared" si="28"/>
        <v>0</v>
      </c>
      <c r="AF55" s="19" t="e">
        <f t="shared" si="29"/>
        <v>#DIV/0!</v>
      </c>
      <c r="AG55" s="19" t="e">
        <f t="shared" si="30"/>
        <v>#DIV/0!</v>
      </c>
      <c r="AH55" s="19" t="e">
        <f t="shared" si="31"/>
        <v>#DIV/0!</v>
      </c>
      <c r="AI55" s="19" t="e">
        <f t="shared" si="32"/>
        <v>#DIV/0!</v>
      </c>
      <c r="AJ55" s="15">
        <f t="shared" si="35"/>
        <v>0</v>
      </c>
      <c r="AK55" s="19" t="e">
        <f t="shared" si="15"/>
        <v>#DIV/0!</v>
      </c>
      <c r="AL55" s="19" t="e">
        <f t="shared" si="16"/>
        <v>#DIV/0!</v>
      </c>
      <c r="AM55" s="19">
        <f t="shared" si="33"/>
        <v>0</v>
      </c>
      <c r="AN55" s="19" t="e">
        <f t="shared" si="17"/>
        <v>#DIV/0!</v>
      </c>
      <c r="AO55" s="19" t="e">
        <f t="shared" si="18"/>
        <v>#DIV/0!</v>
      </c>
      <c r="AP55" s="18" t="e">
        <f>-PV(#REF!,'3.4 - Open'!K55,'3.4 - Open'!P55)*'3.4 - Open'!B55</f>
        <v>#REF!</v>
      </c>
      <c r="AQ55" s="19" t="e">
        <f t="shared" si="19"/>
        <v>#REF!</v>
      </c>
      <c r="AR55" s="19" t="e">
        <f t="shared" si="20"/>
        <v>#REF!</v>
      </c>
      <c r="AS55" s="18" t="e">
        <f>B55*G55*K55*#REF!</f>
        <v>#REF!</v>
      </c>
      <c r="AT55" s="19" t="e">
        <f>B55*I55*K55*#REF!</f>
        <v>#REF!</v>
      </c>
      <c r="AU55" s="24"/>
      <c r="AV55" s="24"/>
      <c r="AW55" s="24"/>
      <c r="AX55" s="24"/>
      <c r="AY55" s="24"/>
    </row>
    <row r="56" spans="1:51" x14ac:dyDescent="0.25">
      <c r="A56" s="14"/>
      <c r="B56" s="14"/>
      <c r="C56" s="14"/>
      <c r="D56" s="14" t="s">
        <v>24</v>
      </c>
      <c r="E56" s="15"/>
      <c r="F56" s="15"/>
      <c r="G56" s="14"/>
      <c r="H56" s="14"/>
      <c r="I56" s="14"/>
      <c r="J56" s="14"/>
      <c r="K56" s="14"/>
      <c r="L56" s="14"/>
      <c r="M56" s="15"/>
      <c r="N56" s="15"/>
      <c r="O56" s="15"/>
      <c r="P56" s="15"/>
      <c r="Q56" s="15"/>
      <c r="R56" s="15"/>
      <c r="S56" s="15"/>
      <c r="T56" s="18">
        <f>IF(C56="Res Space Heat",VLOOKUP(K56,#REF!,4)*G56,IF(C56="Res AC",VLOOKUP(K56,#REF!,6)*G56,IF(C56="Res Lighting",VLOOKUP(K56,#REF!,8)*G56,IF(C56="Res Refrigeration",VLOOKUP(K56,#REF!,10)*G56,IF(C56="Res Water Heating",VLOOKUP(K56,#REF!,12)*G56,IF(C56="Res Dishwasher",VLOOKUP(K56,#REF!,14)*G56,IF(C56="Res Washer Dryer",VLOOKUP(K56,#REF!,16)*G56,IF(C56="Res Misc",VLOOKUP(K56,#REF!,18)*G56,IF(C56="Res Furnace Fan",VLOOKUP(K56,#REF!,20)*G56,IF(C56="NonRes Compressed Air",VLOOKUP(K56,#REF!,22)*G56,IF(C56="NonRes Cooking",VLOOKUP(K56,#REF!,24)*G56,IF(C56="NonRes Space Cooling",VLOOKUP(K56,#REF!,26)*G56,IF(C56="NonRes Exterior Lighting",VLOOKUP(K56,#REF!,28)*G56,IF(C56="NonRes Space Heating",VLOOKUP(K56,#REF!,30)*G56,IF(C56="NonRes Water Heating",VLOOKUP(K56,#REF!,32)*G56,IF(C56="NonRes Interior Lighting",VLOOKUP(K56,#REF!,34)*G56,IF(C56="NonRes Misc",VLOOKUP(K56,#REF!,36)*G56,IF(C56="NonRes Motors",VLOOKUP(K56,#REF!,38)*G56,IF(C56="NonRes Office Equipment",VLOOKUP(K56,#REF!,40)*G56,IF(C56="NonRes Process",VLOOKUP(K56,#REF!,42)*G56,IF(C56="NonRes Refrigeration",VLOOKUP(K56,#REF!,44)*G56,IF(C56="NonRes Ventilation",VLOOKUP(K56,#REF!,46)*G56,0))))))))))))))))))))))</f>
        <v>0</v>
      </c>
      <c r="U56" s="18">
        <f>IF(D56="Annual",VLOOKUP(K56,#REF!,4)*'3.4 - Open'!I56,IF(D56="Winter",VLOOKUP('3.4 - Open'!K56,#REF!,5)*'3.4 - Open'!I56,IF(D56="NA",0,0)))</f>
        <v>0</v>
      </c>
      <c r="V56" s="19" t="e">
        <f t="shared" si="21"/>
        <v>#DIV/0!</v>
      </c>
      <c r="W56" s="19" t="e">
        <f t="shared" si="22"/>
        <v>#DIV/0!</v>
      </c>
      <c r="X56" s="19" t="e">
        <f t="shared" si="23"/>
        <v>#DIV/0!</v>
      </c>
      <c r="Y56" s="19" t="e">
        <f t="shared" si="24"/>
        <v>#DIV/0!</v>
      </c>
      <c r="Z56" s="20" t="e">
        <f>(T56+U56+(PV(#REF!,'3.4 - Open'!K56,'3.4 - Open'!P56)*-1)+'3.4 - Open'!O56)/'3.4 - Open'!E56</f>
        <v>#REF!</v>
      </c>
      <c r="AA56" s="20" t="e">
        <f t="shared" si="34"/>
        <v>#DIV/0!</v>
      </c>
      <c r="AB56" s="21">
        <f t="shared" si="25"/>
        <v>0</v>
      </c>
      <c r="AC56" s="20">
        <f t="shared" si="26"/>
        <v>0</v>
      </c>
      <c r="AD56" s="20">
        <f t="shared" si="27"/>
        <v>0</v>
      </c>
      <c r="AE56" s="20">
        <f t="shared" si="28"/>
        <v>0</v>
      </c>
      <c r="AF56" s="19" t="e">
        <f t="shared" si="29"/>
        <v>#DIV/0!</v>
      </c>
      <c r="AG56" s="19" t="e">
        <f t="shared" si="30"/>
        <v>#DIV/0!</v>
      </c>
      <c r="AH56" s="19" t="e">
        <f t="shared" si="31"/>
        <v>#DIV/0!</v>
      </c>
      <c r="AI56" s="19" t="e">
        <f t="shared" si="32"/>
        <v>#DIV/0!</v>
      </c>
      <c r="AJ56" s="15">
        <f t="shared" si="35"/>
        <v>0</v>
      </c>
      <c r="AK56" s="19" t="e">
        <f t="shared" si="15"/>
        <v>#DIV/0!</v>
      </c>
      <c r="AL56" s="19" t="e">
        <f t="shared" si="16"/>
        <v>#DIV/0!</v>
      </c>
      <c r="AM56" s="19">
        <f t="shared" si="33"/>
        <v>0</v>
      </c>
      <c r="AN56" s="19" t="e">
        <f t="shared" si="17"/>
        <v>#DIV/0!</v>
      </c>
      <c r="AO56" s="19" t="e">
        <f t="shared" si="18"/>
        <v>#DIV/0!</v>
      </c>
      <c r="AP56" s="18" t="e">
        <f>-PV(#REF!,'3.4 - Open'!K56,'3.4 - Open'!P56)*'3.4 - Open'!B56</f>
        <v>#REF!</v>
      </c>
      <c r="AQ56" s="19" t="e">
        <f t="shared" si="19"/>
        <v>#REF!</v>
      </c>
      <c r="AR56" s="19" t="e">
        <f t="shared" si="20"/>
        <v>#REF!</v>
      </c>
      <c r="AS56" s="18" t="e">
        <f>B56*G56*K56*#REF!</f>
        <v>#REF!</v>
      </c>
      <c r="AT56" s="19" t="e">
        <f>B56*I56*K56*#REF!</f>
        <v>#REF!</v>
      </c>
      <c r="AU56" s="24"/>
      <c r="AV56" s="24"/>
      <c r="AW56" s="24"/>
      <c r="AX56" s="24"/>
      <c r="AY56" s="24"/>
    </row>
    <row r="57" spans="1:51" x14ac:dyDescent="0.25">
      <c r="A57" s="14"/>
      <c r="B57" s="14"/>
      <c r="C57" s="14"/>
      <c r="D57" s="14" t="s">
        <v>24</v>
      </c>
      <c r="E57" s="15"/>
      <c r="F57" s="15"/>
      <c r="G57" s="14"/>
      <c r="H57" s="14"/>
      <c r="I57" s="14"/>
      <c r="J57" s="14"/>
      <c r="K57" s="14"/>
      <c r="L57" s="14"/>
      <c r="M57" s="15"/>
      <c r="N57" s="15"/>
      <c r="O57" s="15"/>
      <c r="P57" s="15"/>
      <c r="Q57" s="15"/>
      <c r="R57" s="15"/>
      <c r="S57" s="15"/>
      <c r="T57" s="18">
        <f>IF(C57="Res Space Heat",VLOOKUP(K57,#REF!,4)*G57,IF(C57="Res AC",VLOOKUP(K57,#REF!,6)*G57,IF(C57="Res Lighting",VLOOKUP(K57,#REF!,8)*G57,IF(C57="Res Refrigeration",VLOOKUP(K57,#REF!,10)*G57,IF(C57="Res Water Heating",VLOOKUP(K57,#REF!,12)*G57,IF(C57="Res Dishwasher",VLOOKUP(K57,#REF!,14)*G57,IF(C57="Res Washer Dryer",VLOOKUP(K57,#REF!,16)*G57,IF(C57="Res Misc",VLOOKUP(K57,#REF!,18)*G57,IF(C57="Res Furnace Fan",VLOOKUP(K57,#REF!,20)*G57,IF(C57="NonRes Compressed Air",VLOOKUP(K57,#REF!,22)*G57,IF(C57="NonRes Cooking",VLOOKUP(K57,#REF!,24)*G57,IF(C57="NonRes Space Cooling",VLOOKUP(K57,#REF!,26)*G57,IF(C57="NonRes Exterior Lighting",VLOOKUP(K57,#REF!,28)*G57,IF(C57="NonRes Space Heating",VLOOKUP(K57,#REF!,30)*G57,IF(C57="NonRes Water Heating",VLOOKUP(K57,#REF!,32)*G57,IF(C57="NonRes Interior Lighting",VLOOKUP(K57,#REF!,34)*G57,IF(C57="NonRes Misc",VLOOKUP(K57,#REF!,36)*G57,IF(C57="NonRes Motors",VLOOKUP(K57,#REF!,38)*G57,IF(C57="NonRes Office Equipment",VLOOKUP(K57,#REF!,40)*G57,IF(C57="NonRes Process",VLOOKUP(K57,#REF!,42)*G57,IF(C57="NonRes Refrigeration",VLOOKUP(K57,#REF!,44)*G57,IF(C57="NonRes Ventilation",VLOOKUP(K57,#REF!,46)*G57,0))))))))))))))))))))))</f>
        <v>0</v>
      </c>
      <c r="U57" s="18">
        <f>IF(D57="Annual",VLOOKUP(K57,#REF!,4)*'3.4 - Open'!I57,IF(D57="Winter",VLOOKUP('3.4 - Open'!K57,#REF!,5)*'3.4 - Open'!I57,IF(D57="NA",0,0)))</f>
        <v>0</v>
      </c>
      <c r="V57" s="19" t="e">
        <f t="shared" si="21"/>
        <v>#DIV/0!</v>
      </c>
      <c r="W57" s="19" t="e">
        <f t="shared" si="22"/>
        <v>#DIV/0!</v>
      </c>
      <c r="X57" s="19" t="e">
        <f t="shared" si="23"/>
        <v>#DIV/0!</v>
      </c>
      <c r="Y57" s="19" t="e">
        <f t="shared" si="24"/>
        <v>#DIV/0!</v>
      </c>
      <c r="Z57" s="20" t="e">
        <f>(T57+U57+(PV(#REF!,'3.4 - Open'!K57,'3.4 - Open'!P57)*-1)+'3.4 - Open'!O57)/'3.4 - Open'!E57</f>
        <v>#REF!</v>
      </c>
      <c r="AA57" s="20" t="e">
        <f t="shared" si="34"/>
        <v>#DIV/0!</v>
      </c>
      <c r="AB57" s="21">
        <f t="shared" si="25"/>
        <v>0</v>
      </c>
      <c r="AC57" s="20">
        <f t="shared" si="26"/>
        <v>0</v>
      </c>
      <c r="AD57" s="20">
        <f t="shared" si="27"/>
        <v>0</v>
      </c>
      <c r="AE57" s="20">
        <f t="shared" si="28"/>
        <v>0</v>
      </c>
      <c r="AF57" s="19" t="e">
        <f t="shared" si="29"/>
        <v>#DIV/0!</v>
      </c>
      <c r="AG57" s="19" t="e">
        <f t="shared" si="30"/>
        <v>#DIV/0!</v>
      </c>
      <c r="AH57" s="19" t="e">
        <f t="shared" si="31"/>
        <v>#DIV/0!</v>
      </c>
      <c r="AI57" s="19" t="e">
        <f t="shared" si="32"/>
        <v>#DIV/0!</v>
      </c>
      <c r="AJ57" s="15">
        <f t="shared" si="35"/>
        <v>0</v>
      </c>
      <c r="AK57" s="19" t="e">
        <f t="shared" si="15"/>
        <v>#DIV/0!</v>
      </c>
      <c r="AL57" s="19" t="e">
        <f t="shared" si="16"/>
        <v>#DIV/0!</v>
      </c>
      <c r="AM57" s="19">
        <f t="shared" si="33"/>
        <v>0</v>
      </c>
      <c r="AN57" s="19" t="e">
        <f t="shared" si="17"/>
        <v>#DIV/0!</v>
      </c>
      <c r="AO57" s="19" t="e">
        <f t="shared" si="18"/>
        <v>#DIV/0!</v>
      </c>
      <c r="AP57" s="18" t="e">
        <f>-PV(#REF!,'3.4 - Open'!K57,'3.4 - Open'!P57)*'3.4 - Open'!B57</f>
        <v>#REF!</v>
      </c>
      <c r="AQ57" s="19" t="e">
        <f t="shared" si="19"/>
        <v>#REF!</v>
      </c>
      <c r="AR57" s="19" t="e">
        <f t="shared" si="20"/>
        <v>#REF!</v>
      </c>
      <c r="AS57" s="18" t="e">
        <f>B57*G57*K57*#REF!</f>
        <v>#REF!</v>
      </c>
      <c r="AT57" s="19" t="e">
        <f>B57*I57*K57*#REF!</f>
        <v>#REF!</v>
      </c>
      <c r="AU57" s="24"/>
      <c r="AV57" s="24"/>
      <c r="AW57" s="24"/>
      <c r="AX57" s="24"/>
      <c r="AY57" s="24"/>
    </row>
    <row r="58" spans="1:51" x14ac:dyDescent="0.25">
      <c r="A58" s="14"/>
      <c r="B58" s="14"/>
      <c r="C58" s="14"/>
      <c r="D58" s="14" t="s">
        <v>24</v>
      </c>
      <c r="E58" s="15"/>
      <c r="F58" s="15"/>
      <c r="G58" s="14"/>
      <c r="H58" s="14"/>
      <c r="I58" s="14"/>
      <c r="J58" s="14"/>
      <c r="K58" s="14"/>
      <c r="L58" s="14"/>
      <c r="M58" s="15"/>
      <c r="N58" s="15"/>
      <c r="O58" s="15"/>
      <c r="P58" s="15"/>
      <c r="Q58" s="15"/>
      <c r="R58" s="15"/>
      <c r="S58" s="15"/>
      <c r="T58" s="18">
        <f>IF(C58="Res Space Heat",VLOOKUP(K58,#REF!,4)*G58,IF(C58="Res AC",VLOOKUP(K58,#REF!,6)*G58,IF(C58="Res Lighting",VLOOKUP(K58,#REF!,8)*G58,IF(C58="Res Refrigeration",VLOOKUP(K58,#REF!,10)*G58,IF(C58="Res Water Heating",VLOOKUP(K58,#REF!,12)*G58,IF(C58="Res Dishwasher",VLOOKUP(K58,#REF!,14)*G58,IF(C58="Res Washer Dryer",VLOOKUP(K58,#REF!,16)*G58,IF(C58="Res Misc",VLOOKUP(K58,#REF!,18)*G58,IF(C58="Res Furnace Fan",VLOOKUP(K58,#REF!,20)*G58,IF(C58="NonRes Compressed Air",VLOOKUP(K58,#REF!,22)*G58,IF(C58="NonRes Cooking",VLOOKUP(K58,#REF!,24)*G58,IF(C58="NonRes Space Cooling",VLOOKUP(K58,#REF!,26)*G58,IF(C58="NonRes Exterior Lighting",VLOOKUP(K58,#REF!,28)*G58,IF(C58="NonRes Space Heating",VLOOKUP(K58,#REF!,30)*G58,IF(C58="NonRes Water Heating",VLOOKUP(K58,#REF!,32)*G58,IF(C58="NonRes Interior Lighting",VLOOKUP(K58,#REF!,34)*G58,IF(C58="NonRes Misc",VLOOKUP(K58,#REF!,36)*G58,IF(C58="NonRes Motors",VLOOKUP(K58,#REF!,38)*G58,IF(C58="NonRes Office Equipment",VLOOKUP(K58,#REF!,40)*G58,IF(C58="NonRes Process",VLOOKUP(K58,#REF!,42)*G58,IF(C58="NonRes Refrigeration",VLOOKUP(K58,#REF!,44)*G58,IF(C58="NonRes Ventilation",VLOOKUP(K58,#REF!,46)*G58,0))))))))))))))))))))))</f>
        <v>0</v>
      </c>
      <c r="U58" s="18">
        <f>IF(D58="Annual",VLOOKUP(K58,#REF!,4)*'3.4 - Open'!I58,IF(D58="Winter",VLOOKUP('3.4 - Open'!K58,#REF!,5)*'3.4 - Open'!I58,IF(D58="NA",0,0)))</f>
        <v>0</v>
      </c>
      <c r="V58" s="19" t="e">
        <f t="shared" si="21"/>
        <v>#DIV/0!</v>
      </c>
      <c r="W58" s="19" t="e">
        <f t="shared" si="22"/>
        <v>#DIV/0!</v>
      </c>
      <c r="X58" s="19" t="e">
        <f t="shared" si="23"/>
        <v>#DIV/0!</v>
      </c>
      <c r="Y58" s="19" t="e">
        <f t="shared" si="24"/>
        <v>#DIV/0!</v>
      </c>
      <c r="Z58" s="20" t="e">
        <f>(T58+U58+(PV(#REF!,'3.4 - Open'!K58,'3.4 - Open'!P58)*-1)+'3.4 - Open'!O58)/'3.4 - Open'!E58</f>
        <v>#REF!</v>
      </c>
      <c r="AA58" s="20" t="e">
        <f t="shared" si="34"/>
        <v>#DIV/0!</v>
      </c>
      <c r="AB58" s="21">
        <f t="shared" si="25"/>
        <v>0</v>
      </c>
      <c r="AC58" s="20">
        <f t="shared" si="26"/>
        <v>0</v>
      </c>
      <c r="AD58" s="20">
        <f t="shared" si="27"/>
        <v>0</v>
      </c>
      <c r="AE58" s="20">
        <f t="shared" si="28"/>
        <v>0</v>
      </c>
      <c r="AF58" s="19" t="e">
        <f t="shared" si="29"/>
        <v>#DIV/0!</v>
      </c>
      <c r="AG58" s="19" t="e">
        <f t="shared" si="30"/>
        <v>#DIV/0!</v>
      </c>
      <c r="AH58" s="19" t="e">
        <f t="shared" si="31"/>
        <v>#DIV/0!</v>
      </c>
      <c r="AI58" s="19" t="e">
        <f t="shared" si="32"/>
        <v>#DIV/0!</v>
      </c>
      <c r="AJ58" s="15">
        <f t="shared" si="35"/>
        <v>0</v>
      </c>
      <c r="AK58" s="19" t="e">
        <f t="shared" si="15"/>
        <v>#DIV/0!</v>
      </c>
      <c r="AL58" s="19" t="e">
        <f t="shared" si="16"/>
        <v>#DIV/0!</v>
      </c>
      <c r="AM58" s="19">
        <f t="shared" si="33"/>
        <v>0</v>
      </c>
      <c r="AN58" s="19" t="e">
        <f t="shared" si="17"/>
        <v>#DIV/0!</v>
      </c>
      <c r="AO58" s="19" t="e">
        <f t="shared" si="18"/>
        <v>#DIV/0!</v>
      </c>
      <c r="AP58" s="18" t="e">
        <f>-PV(#REF!,'3.4 - Open'!K58,'3.4 - Open'!P58)*'3.4 - Open'!B58</f>
        <v>#REF!</v>
      </c>
      <c r="AQ58" s="19" t="e">
        <f t="shared" si="19"/>
        <v>#REF!</v>
      </c>
      <c r="AR58" s="19" t="e">
        <f t="shared" si="20"/>
        <v>#REF!</v>
      </c>
      <c r="AS58" s="18" t="e">
        <f>B58*G58*K58*#REF!</f>
        <v>#REF!</v>
      </c>
      <c r="AT58" s="19" t="e">
        <f>B58*I58*K58*#REF!</f>
        <v>#REF!</v>
      </c>
      <c r="AU58" s="24"/>
      <c r="AV58" s="24"/>
      <c r="AW58" s="24"/>
      <c r="AX58" s="24"/>
      <c r="AY58" s="24"/>
    </row>
    <row r="59" spans="1:51" x14ac:dyDescent="0.25">
      <c r="A59" s="14"/>
      <c r="B59" s="14"/>
      <c r="C59" s="14"/>
      <c r="D59" s="14" t="s">
        <v>24</v>
      </c>
      <c r="E59" s="15"/>
      <c r="F59" s="15"/>
      <c r="G59" s="14"/>
      <c r="H59" s="14"/>
      <c r="I59" s="14"/>
      <c r="J59" s="14"/>
      <c r="K59" s="14"/>
      <c r="L59" s="14"/>
      <c r="M59" s="15"/>
      <c r="N59" s="15"/>
      <c r="O59" s="15"/>
      <c r="P59" s="15"/>
      <c r="Q59" s="15"/>
      <c r="R59" s="15"/>
      <c r="S59" s="15"/>
      <c r="T59" s="18">
        <f>IF(C59="Res Space Heat",VLOOKUP(K59,#REF!,4)*G59,IF(C59="Res AC",VLOOKUP(K59,#REF!,6)*G59,IF(C59="Res Lighting",VLOOKUP(K59,#REF!,8)*G59,IF(C59="Res Refrigeration",VLOOKUP(K59,#REF!,10)*G59,IF(C59="Res Water Heating",VLOOKUP(K59,#REF!,12)*G59,IF(C59="Res Dishwasher",VLOOKUP(K59,#REF!,14)*G59,IF(C59="Res Washer Dryer",VLOOKUP(K59,#REF!,16)*G59,IF(C59="Res Misc",VLOOKUP(K59,#REF!,18)*G59,IF(C59="Res Furnace Fan",VLOOKUP(K59,#REF!,20)*G59,IF(C59="NonRes Compressed Air",VLOOKUP(K59,#REF!,22)*G59,IF(C59="NonRes Cooking",VLOOKUP(K59,#REF!,24)*G59,IF(C59="NonRes Space Cooling",VLOOKUP(K59,#REF!,26)*G59,IF(C59="NonRes Exterior Lighting",VLOOKUP(K59,#REF!,28)*G59,IF(C59="NonRes Space Heating",VLOOKUP(K59,#REF!,30)*G59,IF(C59="NonRes Water Heating",VLOOKUP(K59,#REF!,32)*G59,IF(C59="NonRes Interior Lighting",VLOOKUP(K59,#REF!,34)*G59,IF(C59="NonRes Misc",VLOOKUP(K59,#REF!,36)*G59,IF(C59="NonRes Motors",VLOOKUP(K59,#REF!,38)*G59,IF(C59="NonRes Office Equipment",VLOOKUP(K59,#REF!,40)*G59,IF(C59="NonRes Process",VLOOKUP(K59,#REF!,42)*G59,IF(C59="NonRes Refrigeration",VLOOKUP(K59,#REF!,44)*G59,IF(C59="NonRes Ventilation",VLOOKUP(K59,#REF!,46)*G59,0))))))))))))))))))))))</f>
        <v>0</v>
      </c>
      <c r="U59" s="18">
        <f>IF(D59="Annual",VLOOKUP(K59,#REF!,4)*'3.4 - Open'!I59,IF(D59="Winter",VLOOKUP('3.4 - Open'!K59,#REF!,5)*'3.4 - Open'!I59,IF(D59="NA",0,0)))</f>
        <v>0</v>
      </c>
      <c r="V59" s="19" t="e">
        <f t="shared" si="21"/>
        <v>#DIV/0!</v>
      </c>
      <c r="W59" s="19" t="e">
        <f t="shared" si="22"/>
        <v>#DIV/0!</v>
      </c>
      <c r="X59" s="19" t="e">
        <f t="shared" si="23"/>
        <v>#DIV/0!</v>
      </c>
      <c r="Y59" s="19" t="e">
        <f t="shared" si="24"/>
        <v>#DIV/0!</v>
      </c>
      <c r="Z59" s="20" t="e">
        <f>(T59+U59+(PV(#REF!,'3.4 - Open'!K59,'3.4 - Open'!P59)*-1)+'3.4 - Open'!O59)/'3.4 - Open'!E59</f>
        <v>#REF!</v>
      </c>
      <c r="AA59" s="20" t="e">
        <f t="shared" si="34"/>
        <v>#DIV/0!</v>
      </c>
      <c r="AB59" s="21">
        <f t="shared" si="25"/>
        <v>0</v>
      </c>
      <c r="AC59" s="20">
        <f t="shared" si="26"/>
        <v>0</v>
      </c>
      <c r="AD59" s="20">
        <f t="shared" si="27"/>
        <v>0</v>
      </c>
      <c r="AE59" s="20">
        <f t="shared" si="28"/>
        <v>0</v>
      </c>
      <c r="AF59" s="19" t="e">
        <f t="shared" si="29"/>
        <v>#DIV/0!</v>
      </c>
      <c r="AG59" s="19" t="e">
        <f t="shared" si="30"/>
        <v>#DIV/0!</v>
      </c>
      <c r="AH59" s="19" t="e">
        <f t="shared" si="31"/>
        <v>#DIV/0!</v>
      </c>
      <c r="AI59" s="19" t="e">
        <f t="shared" si="32"/>
        <v>#DIV/0!</v>
      </c>
      <c r="AJ59" s="15">
        <f t="shared" si="35"/>
        <v>0</v>
      </c>
      <c r="AK59" s="19" t="e">
        <f t="shared" si="15"/>
        <v>#DIV/0!</v>
      </c>
      <c r="AL59" s="19" t="e">
        <f t="shared" si="16"/>
        <v>#DIV/0!</v>
      </c>
      <c r="AM59" s="19">
        <f t="shared" si="33"/>
        <v>0</v>
      </c>
      <c r="AN59" s="19" t="e">
        <f t="shared" si="17"/>
        <v>#DIV/0!</v>
      </c>
      <c r="AO59" s="19" t="e">
        <f t="shared" si="18"/>
        <v>#DIV/0!</v>
      </c>
      <c r="AP59" s="18" t="e">
        <f>-PV(#REF!,'3.4 - Open'!K59,'3.4 - Open'!P59)*'3.4 - Open'!B59</f>
        <v>#REF!</v>
      </c>
      <c r="AQ59" s="19" t="e">
        <f t="shared" si="19"/>
        <v>#REF!</v>
      </c>
      <c r="AR59" s="19" t="e">
        <f t="shared" si="20"/>
        <v>#REF!</v>
      </c>
      <c r="AS59" s="18" t="e">
        <f>B59*G59*K59*#REF!</f>
        <v>#REF!</v>
      </c>
      <c r="AT59" s="19" t="e">
        <f>B59*I59*K59*#REF!</f>
        <v>#REF!</v>
      </c>
      <c r="AU59" s="24"/>
      <c r="AV59" s="24"/>
      <c r="AW59" s="24"/>
      <c r="AX59" s="24"/>
      <c r="AY59" s="24"/>
    </row>
    <row r="60" spans="1:51" x14ac:dyDescent="0.25">
      <c r="A60" s="14"/>
      <c r="B60" s="14"/>
      <c r="C60" s="14"/>
      <c r="D60" s="14" t="s">
        <v>24</v>
      </c>
      <c r="E60" s="15"/>
      <c r="F60" s="15"/>
      <c r="G60" s="14"/>
      <c r="H60" s="14"/>
      <c r="I60" s="14"/>
      <c r="J60" s="14"/>
      <c r="K60" s="14"/>
      <c r="L60" s="14"/>
      <c r="M60" s="15"/>
      <c r="N60" s="15"/>
      <c r="O60" s="15"/>
      <c r="P60" s="15"/>
      <c r="Q60" s="15"/>
      <c r="R60" s="15"/>
      <c r="S60" s="15"/>
      <c r="T60" s="18">
        <f>IF(C60="Res Space Heat",VLOOKUP(K60,#REF!,4)*G60,IF(C60="Res AC",VLOOKUP(K60,#REF!,6)*G60,IF(C60="Res Lighting",VLOOKUP(K60,#REF!,8)*G60,IF(C60="Res Refrigeration",VLOOKUP(K60,#REF!,10)*G60,IF(C60="Res Water Heating",VLOOKUP(K60,#REF!,12)*G60,IF(C60="Res Dishwasher",VLOOKUP(K60,#REF!,14)*G60,IF(C60="Res Washer Dryer",VLOOKUP(K60,#REF!,16)*G60,IF(C60="Res Misc",VLOOKUP(K60,#REF!,18)*G60,IF(C60="Res Furnace Fan",VLOOKUP(K60,#REF!,20)*G60,IF(C60="NonRes Compressed Air",VLOOKUP(K60,#REF!,22)*G60,IF(C60="NonRes Cooking",VLOOKUP(K60,#REF!,24)*G60,IF(C60="NonRes Space Cooling",VLOOKUP(K60,#REF!,26)*G60,IF(C60="NonRes Exterior Lighting",VLOOKUP(K60,#REF!,28)*G60,IF(C60="NonRes Space Heating",VLOOKUP(K60,#REF!,30)*G60,IF(C60="NonRes Water Heating",VLOOKUP(K60,#REF!,32)*G60,IF(C60="NonRes Interior Lighting",VLOOKUP(K60,#REF!,34)*G60,IF(C60="NonRes Misc",VLOOKUP(K60,#REF!,36)*G60,IF(C60="NonRes Motors",VLOOKUP(K60,#REF!,38)*G60,IF(C60="NonRes Office Equipment",VLOOKUP(K60,#REF!,40)*G60,IF(C60="NonRes Process",VLOOKUP(K60,#REF!,42)*G60,IF(C60="NonRes Refrigeration",VLOOKUP(K60,#REF!,44)*G60,IF(C60="NonRes Ventilation",VLOOKUP(K60,#REF!,46)*G60,0))))))))))))))))))))))</f>
        <v>0</v>
      </c>
      <c r="U60" s="18">
        <f>IF(D60="Annual",VLOOKUP(K60,#REF!,4)*'3.4 - Open'!I60,IF(D60="Winter",VLOOKUP('3.4 - Open'!K60,#REF!,5)*'3.4 - Open'!I60,IF(D60="NA",0,0)))</f>
        <v>0</v>
      </c>
      <c r="V60" s="19" t="e">
        <f t="shared" si="21"/>
        <v>#DIV/0!</v>
      </c>
      <c r="W60" s="19" t="e">
        <f t="shared" si="22"/>
        <v>#DIV/0!</v>
      </c>
      <c r="X60" s="19" t="e">
        <f t="shared" si="23"/>
        <v>#DIV/0!</v>
      </c>
      <c r="Y60" s="19" t="e">
        <f t="shared" si="24"/>
        <v>#DIV/0!</v>
      </c>
      <c r="Z60" s="20" t="e">
        <f>(T60+U60+(PV(#REF!,'3.4 - Open'!K60,'3.4 - Open'!P60)*-1)+'3.4 - Open'!O60)/'3.4 - Open'!E60</f>
        <v>#REF!</v>
      </c>
      <c r="AA60" s="20" t="e">
        <f t="shared" si="34"/>
        <v>#DIV/0!</v>
      </c>
      <c r="AB60" s="21">
        <f t="shared" si="25"/>
        <v>0</v>
      </c>
      <c r="AC60" s="20">
        <f t="shared" si="26"/>
        <v>0</v>
      </c>
      <c r="AD60" s="20">
        <f t="shared" si="27"/>
        <v>0</v>
      </c>
      <c r="AE60" s="20">
        <f t="shared" si="28"/>
        <v>0</v>
      </c>
      <c r="AF60" s="19" t="e">
        <f t="shared" si="29"/>
        <v>#DIV/0!</v>
      </c>
      <c r="AG60" s="19" t="e">
        <f t="shared" si="30"/>
        <v>#DIV/0!</v>
      </c>
      <c r="AH60" s="19" t="e">
        <f t="shared" si="31"/>
        <v>#DIV/0!</v>
      </c>
      <c r="AI60" s="19" t="e">
        <f t="shared" si="32"/>
        <v>#DIV/0!</v>
      </c>
      <c r="AJ60" s="15">
        <f t="shared" si="35"/>
        <v>0</v>
      </c>
      <c r="AK60" s="19" t="e">
        <f t="shared" si="15"/>
        <v>#DIV/0!</v>
      </c>
      <c r="AL60" s="19" t="e">
        <f t="shared" si="16"/>
        <v>#DIV/0!</v>
      </c>
      <c r="AM60" s="19">
        <f t="shared" si="33"/>
        <v>0</v>
      </c>
      <c r="AN60" s="19" t="e">
        <f t="shared" si="17"/>
        <v>#DIV/0!</v>
      </c>
      <c r="AO60" s="19" t="e">
        <f t="shared" si="18"/>
        <v>#DIV/0!</v>
      </c>
      <c r="AP60" s="18" t="e">
        <f>-PV(#REF!,'3.4 - Open'!K60,'3.4 - Open'!P60)*'3.4 - Open'!B60</f>
        <v>#REF!</v>
      </c>
      <c r="AQ60" s="19" t="e">
        <f t="shared" si="19"/>
        <v>#REF!</v>
      </c>
      <c r="AR60" s="19" t="e">
        <f t="shared" si="20"/>
        <v>#REF!</v>
      </c>
      <c r="AS60" s="18" t="e">
        <f>B60*G60*K60*#REF!</f>
        <v>#REF!</v>
      </c>
      <c r="AT60" s="19" t="e">
        <f>B60*I60*K60*#REF!</f>
        <v>#REF!</v>
      </c>
      <c r="AU60" s="24"/>
      <c r="AV60" s="24"/>
      <c r="AW60" s="24"/>
      <c r="AX60" s="24"/>
      <c r="AY60" s="24"/>
    </row>
    <row r="61" spans="1:51" x14ac:dyDescent="0.25">
      <c r="A61" s="14"/>
      <c r="B61" s="14"/>
      <c r="C61" s="14"/>
      <c r="D61" s="14" t="s">
        <v>24</v>
      </c>
      <c r="E61" s="15"/>
      <c r="F61" s="15"/>
      <c r="G61" s="14"/>
      <c r="H61" s="14"/>
      <c r="I61" s="14"/>
      <c r="J61" s="14"/>
      <c r="K61" s="14"/>
      <c r="L61" s="14"/>
      <c r="M61" s="15"/>
      <c r="N61" s="15"/>
      <c r="O61" s="15"/>
      <c r="P61" s="15"/>
      <c r="Q61" s="15"/>
      <c r="R61" s="15"/>
      <c r="S61" s="15"/>
      <c r="T61" s="18">
        <f>IF(C61="Res Space Heat",VLOOKUP(K61,#REF!,4)*G61,IF(C61="Res AC",VLOOKUP(K61,#REF!,6)*G61,IF(C61="Res Lighting",VLOOKUP(K61,#REF!,8)*G61,IF(C61="Res Refrigeration",VLOOKUP(K61,#REF!,10)*G61,IF(C61="Res Water Heating",VLOOKUP(K61,#REF!,12)*G61,IF(C61="Res Dishwasher",VLOOKUP(K61,#REF!,14)*G61,IF(C61="Res Washer Dryer",VLOOKUP(K61,#REF!,16)*G61,IF(C61="Res Misc",VLOOKUP(K61,#REF!,18)*G61,IF(C61="Res Furnace Fan",VLOOKUP(K61,#REF!,20)*G61,IF(C61="NonRes Compressed Air",VLOOKUP(K61,#REF!,22)*G61,IF(C61="NonRes Cooking",VLOOKUP(K61,#REF!,24)*G61,IF(C61="NonRes Space Cooling",VLOOKUP(K61,#REF!,26)*G61,IF(C61="NonRes Exterior Lighting",VLOOKUP(K61,#REF!,28)*G61,IF(C61="NonRes Space Heating",VLOOKUP(K61,#REF!,30)*G61,IF(C61="NonRes Water Heating",VLOOKUP(K61,#REF!,32)*G61,IF(C61="NonRes Interior Lighting",VLOOKUP(K61,#REF!,34)*G61,IF(C61="NonRes Misc",VLOOKUP(K61,#REF!,36)*G61,IF(C61="NonRes Motors",VLOOKUP(K61,#REF!,38)*G61,IF(C61="NonRes Office Equipment",VLOOKUP(K61,#REF!,40)*G61,IF(C61="NonRes Process",VLOOKUP(K61,#REF!,42)*G61,IF(C61="NonRes Refrigeration",VLOOKUP(K61,#REF!,44)*G61,IF(C61="NonRes Ventilation",VLOOKUP(K61,#REF!,46)*G61,0))))))))))))))))))))))</f>
        <v>0</v>
      </c>
      <c r="U61" s="18">
        <f>IF(D61="Annual",VLOOKUP(K61,#REF!,4)*'3.4 - Open'!I61,IF(D61="Winter",VLOOKUP('3.4 - Open'!K61,#REF!,5)*'3.4 - Open'!I61,IF(D61="NA",0,0)))</f>
        <v>0</v>
      </c>
      <c r="V61" s="19" t="e">
        <f t="shared" si="21"/>
        <v>#DIV/0!</v>
      </c>
      <c r="W61" s="19" t="e">
        <f t="shared" si="22"/>
        <v>#DIV/0!</v>
      </c>
      <c r="X61" s="19" t="e">
        <f t="shared" si="23"/>
        <v>#DIV/0!</v>
      </c>
      <c r="Y61" s="19" t="e">
        <f t="shared" si="24"/>
        <v>#DIV/0!</v>
      </c>
      <c r="Z61" s="20" t="e">
        <f>(T61+U61+(PV(#REF!,'3.4 - Open'!K61,'3.4 - Open'!P61)*-1)+'3.4 - Open'!O61)/'3.4 - Open'!E61</f>
        <v>#REF!</v>
      </c>
      <c r="AA61" s="20" t="e">
        <f t="shared" si="34"/>
        <v>#DIV/0!</v>
      </c>
      <c r="AB61" s="21">
        <f t="shared" si="25"/>
        <v>0</v>
      </c>
      <c r="AC61" s="20">
        <f t="shared" si="26"/>
        <v>0</v>
      </c>
      <c r="AD61" s="20">
        <f t="shared" si="27"/>
        <v>0</v>
      </c>
      <c r="AE61" s="20">
        <f t="shared" si="28"/>
        <v>0</v>
      </c>
      <c r="AF61" s="19" t="e">
        <f t="shared" si="29"/>
        <v>#DIV/0!</v>
      </c>
      <c r="AG61" s="19" t="e">
        <f t="shared" si="30"/>
        <v>#DIV/0!</v>
      </c>
      <c r="AH61" s="19" t="e">
        <f t="shared" si="31"/>
        <v>#DIV/0!</v>
      </c>
      <c r="AI61" s="19" t="e">
        <f t="shared" si="32"/>
        <v>#DIV/0!</v>
      </c>
      <c r="AJ61" s="15">
        <f t="shared" si="35"/>
        <v>0</v>
      </c>
      <c r="AK61" s="19" t="e">
        <f t="shared" si="15"/>
        <v>#DIV/0!</v>
      </c>
      <c r="AL61" s="19" t="e">
        <f t="shared" si="16"/>
        <v>#DIV/0!</v>
      </c>
      <c r="AM61" s="19">
        <f t="shared" si="33"/>
        <v>0</v>
      </c>
      <c r="AN61" s="19" t="e">
        <f t="shared" si="17"/>
        <v>#DIV/0!</v>
      </c>
      <c r="AO61" s="19" t="e">
        <f t="shared" si="18"/>
        <v>#DIV/0!</v>
      </c>
      <c r="AP61" s="18" t="e">
        <f>-PV(#REF!,'3.4 - Open'!K61,'3.4 - Open'!P61)*'3.4 - Open'!B61</f>
        <v>#REF!</v>
      </c>
      <c r="AQ61" s="19" t="e">
        <f t="shared" si="19"/>
        <v>#REF!</v>
      </c>
      <c r="AR61" s="19" t="e">
        <f t="shared" si="20"/>
        <v>#REF!</v>
      </c>
      <c r="AS61" s="18" t="e">
        <f>B61*G61*K61*#REF!</f>
        <v>#REF!</v>
      </c>
      <c r="AT61" s="19" t="e">
        <f>B61*I61*K61*#REF!</f>
        <v>#REF!</v>
      </c>
      <c r="AU61" s="24"/>
      <c r="AV61" s="24"/>
      <c r="AW61" s="24"/>
      <c r="AX61" s="24"/>
      <c r="AY61" s="24"/>
    </row>
    <row r="62" spans="1:51" x14ac:dyDescent="0.25">
      <c r="A62" s="14"/>
      <c r="B62" s="14"/>
      <c r="C62" s="14"/>
      <c r="D62" s="14" t="s">
        <v>24</v>
      </c>
      <c r="E62" s="15"/>
      <c r="F62" s="15"/>
      <c r="G62" s="14"/>
      <c r="H62" s="14"/>
      <c r="I62" s="14"/>
      <c r="J62" s="14"/>
      <c r="K62" s="14"/>
      <c r="L62" s="14"/>
      <c r="M62" s="15"/>
      <c r="N62" s="15"/>
      <c r="O62" s="15"/>
      <c r="P62" s="15"/>
      <c r="Q62" s="15"/>
      <c r="R62" s="15"/>
      <c r="S62" s="15"/>
      <c r="T62" s="18">
        <f>IF(C62="Res Space Heat",VLOOKUP(K62,#REF!,4)*G62,IF(C62="Res AC",VLOOKUP(K62,#REF!,6)*G62,IF(C62="Res Lighting",VLOOKUP(K62,#REF!,8)*G62,IF(C62="Res Refrigeration",VLOOKUP(K62,#REF!,10)*G62,IF(C62="Res Water Heating",VLOOKUP(K62,#REF!,12)*G62,IF(C62="Res Dishwasher",VLOOKUP(K62,#REF!,14)*G62,IF(C62="Res Washer Dryer",VLOOKUP(K62,#REF!,16)*G62,IF(C62="Res Misc",VLOOKUP(K62,#REF!,18)*G62,IF(C62="Res Furnace Fan",VLOOKUP(K62,#REF!,20)*G62,IF(C62="NonRes Compressed Air",VLOOKUP(K62,#REF!,22)*G62,IF(C62="NonRes Cooking",VLOOKUP(K62,#REF!,24)*G62,IF(C62="NonRes Space Cooling",VLOOKUP(K62,#REF!,26)*G62,IF(C62="NonRes Exterior Lighting",VLOOKUP(K62,#REF!,28)*G62,IF(C62="NonRes Space Heating",VLOOKUP(K62,#REF!,30)*G62,IF(C62="NonRes Water Heating",VLOOKUP(K62,#REF!,32)*G62,IF(C62="NonRes Interior Lighting",VLOOKUP(K62,#REF!,34)*G62,IF(C62="NonRes Misc",VLOOKUP(K62,#REF!,36)*G62,IF(C62="NonRes Motors",VLOOKUP(K62,#REF!,38)*G62,IF(C62="NonRes Office Equipment",VLOOKUP(K62,#REF!,40)*G62,IF(C62="NonRes Process",VLOOKUP(K62,#REF!,42)*G62,IF(C62="NonRes Refrigeration",VLOOKUP(K62,#REF!,44)*G62,IF(C62="NonRes Ventilation",VLOOKUP(K62,#REF!,46)*G62,0))))))))))))))))))))))</f>
        <v>0</v>
      </c>
      <c r="U62" s="18">
        <f>IF(D62="Annual",VLOOKUP(K62,#REF!,4)*'3.4 - Open'!I62,IF(D62="Winter",VLOOKUP('3.4 - Open'!K62,#REF!,5)*'3.4 - Open'!I62,IF(D62="NA",0,0)))</f>
        <v>0</v>
      </c>
      <c r="V62" s="19" t="e">
        <f t="shared" si="21"/>
        <v>#DIV/0!</v>
      </c>
      <c r="W62" s="19" t="e">
        <f t="shared" si="22"/>
        <v>#DIV/0!</v>
      </c>
      <c r="X62" s="19" t="e">
        <f t="shared" si="23"/>
        <v>#DIV/0!</v>
      </c>
      <c r="Y62" s="19" t="e">
        <f t="shared" si="24"/>
        <v>#DIV/0!</v>
      </c>
      <c r="Z62" s="20" t="e">
        <f>(T62+U62+(PV(#REF!,'3.4 - Open'!K62,'3.4 - Open'!P62)*-1)+'3.4 - Open'!O62)/'3.4 - Open'!E62</f>
        <v>#REF!</v>
      </c>
      <c r="AA62" s="20" t="e">
        <f t="shared" si="34"/>
        <v>#DIV/0!</v>
      </c>
      <c r="AB62" s="21">
        <f t="shared" si="25"/>
        <v>0</v>
      </c>
      <c r="AC62" s="20">
        <f t="shared" si="26"/>
        <v>0</v>
      </c>
      <c r="AD62" s="20">
        <f t="shared" si="27"/>
        <v>0</v>
      </c>
      <c r="AE62" s="20">
        <f t="shared" si="28"/>
        <v>0</v>
      </c>
      <c r="AF62" s="19" t="e">
        <f t="shared" si="29"/>
        <v>#DIV/0!</v>
      </c>
      <c r="AG62" s="19" t="e">
        <f t="shared" si="30"/>
        <v>#DIV/0!</v>
      </c>
      <c r="AH62" s="19" t="e">
        <f t="shared" si="31"/>
        <v>#DIV/0!</v>
      </c>
      <c r="AI62" s="19" t="e">
        <f t="shared" si="32"/>
        <v>#DIV/0!</v>
      </c>
      <c r="AJ62" s="15">
        <f t="shared" si="35"/>
        <v>0</v>
      </c>
      <c r="AK62" s="19" t="e">
        <f t="shared" si="15"/>
        <v>#DIV/0!</v>
      </c>
      <c r="AL62" s="19" t="e">
        <f t="shared" si="16"/>
        <v>#DIV/0!</v>
      </c>
      <c r="AM62" s="19">
        <f t="shared" si="33"/>
        <v>0</v>
      </c>
      <c r="AN62" s="19" t="e">
        <f t="shared" si="17"/>
        <v>#DIV/0!</v>
      </c>
      <c r="AO62" s="19" t="e">
        <f t="shared" si="18"/>
        <v>#DIV/0!</v>
      </c>
      <c r="AP62" s="18" t="e">
        <f>-PV(#REF!,'3.4 - Open'!K62,'3.4 - Open'!P62)*'3.4 - Open'!B62</f>
        <v>#REF!</v>
      </c>
      <c r="AQ62" s="19" t="e">
        <f t="shared" si="19"/>
        <v>#REF!</v>
      </c>
      <c r="AR62" s="19" t="e">
        <f t="shared" si="20"/>
        <v>#REF!</v>
      </c>
      <c r="AS62" s="18" t="e">
        <f>B62*G62*K62*#REF!</f>
        <v>#REF!</v>
      </c>
      <c r="AT62" s="19" t="e">
        <f>B62*I62*K62*#REF!</f>
        <v>#REF!</v>
      </c>
      <c r="AU62" s="24"/>
      <c r="AV62" s="24"/>
      <c r="AW62" s="24"/>
      <c r="AX62" s="24"/>
      <c r="AY62" s="24"/>
    </row>
    <row r="63" spans="1:51" x14ac:dyDescent="0.25">
      <c r="A63" s="14"/>
      <c r="B63" s="14"/>
      <c r="C63" s="14"/>
      <c r="D63" s="14" t="s">
        <v>24</v>
      </c>
      <c r="E63" s="15"/>
      <c r="F63" s="15"/>
      <c r="G63" s="14"/>
      <c r="H63" s="14"/>
      <c r="I63" s="14"/>
      <c r="J63" s="14"/>
      <c r="K63" s="14"/>
      <c r="L63" s="14"/>
      <c r="M63" s="15"/>
      <c r="N63" s="15"/>
      <c r="O63" s="15"/>
      <c r="P63" s="15"/>
      <c r="Q63" s="15"/>
      <c r="R63" s="15"/>
      <c r="S63" s="15"/>
      <c r="T63" s="18">
        <f>IF(C63="Res Space Heat",VLOOKUP(K63,#REF!,4)*G63,IF(C63="Res AC",VLOOKUP(K63,#REF!,6)*G63,IF(C63="Res Lighting",VLOOKUP(K63,#REF!,8)*G63,IF(C63="Res Refrigeration",VLOOKUP(K63,#REF!,10)*G63,IF(C63="Res Water Heating",VLOOKUP(K63,#REF!,12)*G63,IF(C63="Res Dishwasher",VLOOKUP(K63,#REF!,14)*G63,IF(C63="Res Washer Dryer",VLOOKUP(K63,#REF!,16)*G63,IF(C63="Res Misc",VLOOKUP(K63,#REF!,18)*G63,IF(C63="Res Furnace Fan",VLOOKUP(K63,#REF!,20)*G63,IF(C63="NonRes Compressed Air",VLOOKUP(K63,#REF!,22)*G63,IF(C63="NonRes Cooking",VLOOKUP(K63,#REF!,24)*G63,IF(C63="NonRes Space Cooling",VLOOKUP(K63,#REF!,26)*G63,IF(C63="NonRes Exterior Lighting",VLOOKUP(K63,#REF!,28)*G63,IF(C63="NonRes Space Heating",VLOOKUP(K63,#REF!,30)*G63,IF(C63="NonRes Water Heating",VLOOKUP(K63,#REF!,32)*G63,IF(C63="NonRes Interior Lighting",VLOOKUP(K63,#REF!,34)*G63,IF(C63="NonRes Misc",VLOOKUP(K63,#REF!,36)*G63,IF(C63="NonRes Motors",VLOOKUP(K63,#REF!,38)*G63,IF(C63="NonRes Office Equipment",VLOOKUP(K63,#REF!,40)*G63,IF(C63="NonRes Process",VLOOKUP(K63,#REF!,42)*G63,IF(C63="NonRes Refrigeration",VLOOKUP(K63,#REF!,44)*G63,IF(C63="NonRes Ventilation",VLOOKUP(K63,#REF!,46)*G63,0))))))))))))))))))))))</f>
        <v>0</v>
      </c>
      <c r="U63" s="18">
        <f>IF(D63="Annual",VLOOKUP(K63,#REF!,4)*'3.4 - Open'!I63,IF(D63="Winter",VLOOKUP('3.4 - Open'!K63,#REF!,5)*'3.4 - Open'!I63,IF(D63="NA",0,0)))</f>
        <v>0</v>
      </c>
      <c r="V63" s="19" t="e">
        <f t="shared" si="21"/>
        <v>#DIV/0!</v>
      </c>
      <c r="W63" s="19" t="e">
        <f t="shared" si="22"/>
        <v>#DIV/0!</v>
      </c>
      <c r="X63" s="19" t="e">
        <f t="shared" si="23"/>
        <v>#DIV/0!</v>
      </c>
      <c r="Y63" s="19" t="e">
        <f t="shared" si="24"/>
        <v>#DIV/0!</v>
      </c>
      <c r="Z63" s="20" t="e">
        <f>(T63+U63+(PV(#REF!,'3.4 - Open'!K63,'3.4 - Open'!P63)*-1)+'3.4 - Open'!O63)/'3.4 - Open'!E63</f>
        <v>#REF!</v>
      </c>
      <c r="AA63" s="20" t="e">
        <f t="shared" si="34"/>
        <v>#DIV/0!</v>
      </c>
      <c r="AB63" s="21">
        <f t="shared" si="25"/>
        <v>0</v>
      </c>
      <c r="AC63" s="20">
        <f t="shared" si="26"/>
        <v>0</v>
      </c>
      <c r="AD63" s="20">
        <f t="shared" si="27"/>
        <v>0</v>
      </c>
      <c r="AE63" s="20">
        <f t="shared" si="28"/>
        <v>0</v>
      </c>
      <c r="AF63" s="19" t="e">
        <f t="shared" si="29"/>
        <v>#DIV/0!</v>
      </c>
      <c r="AG63" s="19" t="e">
        <f t="shared" si="30"/>
        <v>#DIV/0!</v>
      </c>
      <c r="AH63" s="19" t="e">
        <f t="shared" si="31"/>
        <v>#DIV/0!</v>
      </c>
      <c r="AI63" s="19" t="e">
        <f t="shared" si="32"/>
        <v>#DIV/0!</v>
      </c>
      <c r="AJ63" s="15">
        <f t="shared" si="35"/>
        <v>0</v>
      </c>
      <c r="AK63" s="19" t="e">
        <f t="shared" si="15"/>
        <v>#DIV/0!</v>
      </c>
      <c r="AL63" s="19" t="e">
        <f t="shared" si="16"/>
        <v>#DIV/0!</v>
      </c>
      <c r="AM63" s="19">
        <f t="shared" si="33"/>
        <v>0</v>
      </c>
      <c r="AN63" s="19" t="e">
        <f t="shared" si="17"/>
        <v>#DIV/0!</v>
      </c>
      <c r="AO63" s="19" t="e">
        <f t="shared" si="18"/>
        <v>#DIV/0!</v>
      </c>
      <c r="AP63" s="18" t="e">
        <f>-PV(#REF!,'3.4 - Open'!K63,'3.4 - Open'!P63)*'3.4 - Open'!B63</f>
        <v>#REF!</v>
      </c>
      <c r="AQ63" s="19" t="e">
        <f t="shared" si="19"/>
        <v>#REF!</v>
      </c>
      <c r="AR63" s="19" t="e">
        <f t="shared" si="20"/>
        <v>#REF!</v>
      </c>
      <c r="AS63" s="18" t="e">
        <f>B63*G63*K63*#REF!</f>
        <v>#REF!</v>
      </c>
      <c r="AT63" s="19" t="e">
        <f>B63*I63*K63*#REF!</f>
        <v>#REF!</v>
      </c>
      <c r="AU63" s="24"/>
      <c r="AV63" s="24"/>
      <c r="AW63" s="24"/>
      <c r="AX63" s="24"/>
      <c r="AY63" s="24"/>
    </row>
    <row r="64" spans="1:51" x14ac:dyDescent="0.25">
      <c r="A64" s="14"/>
      <c r="B64" s="14"/>
      <c r="C64" s="14"/>
      <c r="D64" s="14" t="s">
        <v>24</v>
      </c>
      <c r="E64" s="15"/>
      <c r="F64" s="15"/>
      <c r="G64" s="14"/>
      <c r="H64" s="14"/>
      <c r="I64" s="14"/>
      <c r="J64" s="14"/>
      <c r="K64" s="14"/>
      <c r="L64" s="14"/>
      <c r="M64" s="15"/>
      <c r="N64" s="15"/>
      <c r="O64" s="15"/>
      <c r="P64" s="15"/>
      <c r="Q64" s="15"/>
      <c r="R64" s="15"/>
      <c r="S64" s="15"/>
      <c r="T64" s="18">
        <f>IF(C64="Res Space Heat",VLOOKUP(K64,#REF!,4)*G64,IF(C64="Res AC",VLOOKUP(K64,#REF!,6)*G64,IF(C64="Res Lighting",VLOOKUP(K64,#REF!,8)*G64,IF(C64="Res Refrigeration",VLOOKUP(K64,#REF!,10)*G64,IF(C64="Res Water Heating",VLOOKUP(K64,#REF!,12)*G64,IF(C64="Res Dishwasher",VLOOKUP(K64,#REF!,14)*G64,IF(C64="Res Washer Dryer",VLOOKUP(K64,#REF!,16)*G64,IF(C64="Res Misc",VLOOKUP(K64,#REF!,18)*G64,IF(C64="Res Furnace Fan",VLOOKUP(K64,#REF!,20)*G64,IF(C64="NonRes Compressed Air",VLOOKUP(K64,#REF!,22)*G64,IF(C64="NonRes Cooking",VLOOKUP(K64,#REF!,24)*G64,IF(C64="NonRes Space Cooling",VLOOKUP(K64,#REF!,26)*G64,IF(C64="NonRes Exterior Lighting",VLOOKUP(K64,#REF!,28)*G64,IF(C64="NonRes Space Heating",VLOOKUP(K64,#REF!,30)*G64,IF(C64="NonRes Water Heating",VLOOKUP(K64,#REF!,32)*G64,IF(C64="NonRes Interior Lighting",VLOOKUP(K64,#REF!,34)*G64,IF(C64="NonRes Misc",VLOOKUP(K64,#REF!,36)*G64,IF(C64="NonRes Motors",VLOOKUP(K64,#REF!,38)*G64,IF(C64="NonRes Office Equipment",VLOOKUP(K64,#REF!,40)*G64,IF(C64="NonRes Process",VLOOKUP(K64,#REF!,42)*G64,IF(C64="NonRes Refrigeration",VLOOKUP(K64,#REF!,44)*G64,IF(C64="NonRes Ventilation",VLOOKUP(K64,#REF!,46)*G64,0))))))))))))))))))))))</f>
        <v>0</v>
      </c>
      <c r="U64" s="18">
        <f>IF(D64="Annual",VLOOKUP(K64,#REF!,4)*'3.4 - Open'!I64,IF(D64="Winter",VLOOKUP('3.4 - Open'!K64,#REF!,5)*'3.4 - Open'!I64,IF(D64="NA",0,0)))</f>
        <v>0</v>
      </c>
      <c r="V64" s="19" t="e">
        <f t="shared" si="21"/>
        <v>#DIV/0!</v>
      </c>
      <c r="W64" s="19" t="e">
        <f t="shared" si="22"/>
        <v>#DIV/0!</v>
      </c>
      <c r="X64" s="19" t="e">
        <f t="shared" si="23"/>
        <v>#DIV/0!</v>
      </c>
      <c r="Y64" s="19" t="e">
        <f t="shared" si="24"/>
        <v>#DIV/0!</v>
      </c>
      <c r="Z64" s="20" t="e">
        <f>(T64+U64+(PV(#REF!,'3.4 - Open'!K64,'3.4 - Open'!P64)*-1)+'3.4 - Open'!O64)/'3.4 - Open'!E64</f>
        <v>#REF!</v>
      </c>
      <c r="AA64" s="20" t="e">
        <f t="shared" si="34"/>
        <v>#DIV/0!</v>
      </c>
      <c r="AB64" s="21">
        <f t="shared" si="25"/>
        <v>0</v>
      </c>
      <c r="AC64" s="20">
        <f t="shared" si="26"/>
        <v>0</v>
      </c>
      <c r="AD64" s="20">
        <f t="shared" si="27"/>
        <v>0</v>
      </c>
      <c r="AE64" s="20">
        <f t="shared" si="28"/>
        <v>0</v>
      </c>
      <c r="AF64" s="19" t="e">
        <f t="shared" si="29"/>
        <v>#DIV/0!</v>
      </c>
      <c r="AG64" s="19" t="e">
        <f t="shared" si="30"/>
        <v>#DIV/0!</v>
      </c>
      <c r="AH64" s="19" t="e">
        <f t="shared" si="31"/>
        <v>#DIV/0!</v>
      </c>
      <c r="AI64" s="19" t="e">
        <f t="shared" si="32"/>
        <v>#DIV/0!</v>
      </c>
      <c r="AJ64" s="15">
        <f t="shared" si="35"/>
        <v>0</v>
      </c>
      <c r="AK64" s="19" t="e">
        <f t="shared" si="15"/>
        <v>#DIV/0!</v>
      </c>
      <c r="AL64" s="19" t="e">
        <f t="shared" si="16"/>
        <v>#DIV/0!</v>
      </c>
      <c r="AM64" s="19">
        <f t="shared" si="33"/>
        <v>0</v>
      </c>
      <c r="AN64" s="19" t="e">
        <f t="shared" si="17"/>
        <v>#DIV/0!</v>
      </c>
      <c r="AO64" s="19" t="e">
        <f t="shared" si="18"/>
        <v>#DIV/0!</v>
      </c>
      <c r="AP64" s="18" t="e">
        <f>-PV(#REF!,'3.4 - Open'!K64,'3.4 - Open'!P64)*'3.4 - Open'!B64</f>
        <v>#REF!</v>
      </c>
      <c r="AQ64" s="19" t="e">
        <f t="shared" si="19"/>
        <v>#REF!</v>
      </c>
      <c r="AR64" s="19" t="e">
        <f t="shared" si="20"/>
        <v>#REF!</v>
      </c>
      <c r="AS64" s="18" t="e">
        <f>B64*G64*K64*#REF!</f>
        <v>#REF!</v>
      </c>
      <c r="AT64" s="19" t="e">
        <f>B64*I64*K64*#REF!</f>
        <v>#REF!</v>
      </c>
      <c r="AU64" s="24"/>
      <c r="AV64" s="24"/>
      <c r="AW64" s="24"/>
      <c r="AX64" s="24"/>
      <c r="AY64" s="24"/>
    </row>
    <row r="65" spans="1:51" x14ac:dyDescent="0.25">
      <c r="A65" s="14"/>
      <c r="B65" s="14"/>
      <c r="C65" s="14"/>
      <c r="D65" s="14" t="s">
        <v>24</v>
      </c>
      <c r="E65" s="15"/>
      <c r="F65" s="15"/>
      <c r="G65" s="14"/>
      <c r="H65" s="14"/>
      <c r="I65" s="14"/>
      <c r="J65" s="14"/>
      <c r="K65" s="14"/>
      <c r="L65" s="14"/>
      <c r="M65" s="15"/>
      <c r="N65" s="15"/>
      <c r="O65" s="15"/>
      <c r="P65" s="15"/>
      <c r="Q65" s="15"/>
      <c r="R65" s="15"/>
      <c r="S65" s="15"/>
      <c r="T65" s="18">
        <f>IF(C65="Res Space Heat",VLOOKUP(K65,#REF!,4)*G65,IF(C65="Res AC",VLOOKUP(K65,#REF!,6)*G65,IF(C65="Res Lighting",VLOOKUP(K65,#REF!,8)*G65,IF(C65="Res Refrigeration",VLOOKUP(K65,#REF!,10)*G65,IF(C65="Res Water Heating",VLOOKUP(K65,#REF!,12)*G65,IF(C65="Res Dishwasher",VLOOKUP(K65,#REF!,14)*G65,IF(C65="Res Washer Dryer",VLOOKUP(K65,#REF!,16)*G65,IF(C65="Res Misc",VLOOKUP(K65,#REF!,18)*G65,IF(C65="Res Furnace Fan",VLOOKUP(K65,#REF!,20)*G65,IF(C65="NonRes Compressed Air",VLOOKUP(K65,#REF!,22)*G65,IF(C65="NonRes Cooking",VLOOKUP(K65,#REF!,24)*G65,IF(C65="NonRes Space Cooling",VLOOKUP(K65,#REF!,26)*G65,IF(C65="NonRes Exterior Lighting",VLOOKUP(K65,#REF!,28)*G65,IF(C65="NonRes Space Heating",VLOOKUP(K65,#REF!,30)*G65,IF(C65="NonRes Water Heating",VLOOKUP(K65,#REF!,32)*G65,IF(C65="NonRes Interior Lighting",VLOOKUP(K65,#REF!,34)*G65,IF(C65="NonRes Misc",VLOOKUP(K65,#REF!,36)*G65,IF(C65="NonRes Motors",VLOOKUP(K65,#REF!,38)*G65,IF(C65="NonRes Office Equipment",VLOOKUP(K65,#REF!,40)*G65,IF(C65="NonRes Process",VLOOKUP(K65,#REF!,42)*G65,IF(C65="NonRes Refrigeration",VLOOKUP(K65,#REF!,44)*G65,IF(C65="NonRes Ventilation",VLOOKUP(K65,#REF!,46)*G65,0))))))))))))))))))))))</f>
        <v>0</v>
      </c>
      <c r="U65" s="18">
        <f>IF(D65="Annual",VLOOKUP(K65,#REF!,4)*'3.4 - Open'!I65,IF(D65="Winter",VLOOKUP('3.4 - Open'!K65,#REF!,5)*'3.4 - Open'!I65,IF(D65="NA",0,0)))</f>
        <v>0</v>
      </c>
      <c r="V65" s="19" t="e">
        <f t="shared" si="21"/>
        <v>#DIV/0!</v>
      </c>
      <c r="W65" s="19" t="e">
        <f t="shared" si="22"/>
        <v>#DIV/0!</v>
      </c>
      <c r="X65" s="19" t="e">
        <f t="shared" si="23"/>
        <v>#DIV/0!</v>
      </c>
      <c r="Y65" s="19" t="e">
        <f t="shared" si="24"/>
        <v>#DIV/0!</v>
      </c>
      <c r="Z65" s="20" t="e">
        <f>(T65+U65+(PV(#REF!,'3.4 - Open'!K65,'3.4 - Open'!P65)*-1)+'3.4 - Open'!O65)/'3.4 - Open'!E65</f>
        <v>#REF!</v>
      </c>
      <c r="AA65" s="20" t="e">
        <f t="shared" si="34"/>
        <v>#DIV/0!</v>
      </c>
      <c r="AB65" s="21">
        <f t="shared" si="25"/>
        <v>0</v>
      </c>
      <c r="AC65" s="20">
        <f t="shared" si="26"/>
        <v>0</v>
      </c>
      <c r="AD65" s="20">
        <f t="shared" si="27"/>
        <v>0</v>
      </c>
      <c r="AE65" s="20">
        <f t="shared" si="28"/>
        <v>0</v>
      </c>
      <c r="AF65" s="19" t="e">
        <f t="shared" si="29"/>
        <v>#DIV/0!</v>
      </c>
      <c r="AG65" s="19" t="e">
        <f t="shared" si="30"/>
        <v>#DIV/0!</v>
      </c>
      <c r="AH65" s="19" t="e">
        <f t="shared" si="31"/>
        <v>#DIV/0!</v>
      </c>
      <c r="AI65" s="19" t="e">
        <f t="shared" si="32"/>
        <v>#DIV/0!</v>
      </c>
      <c r="AJ65" s="15">
        <f t="shared" si="35"/>
        <v>0</v>
      </c>
      <c r="AK65" s="19" t="e">
        <f t="shared" si="15"/>
        <v>#DIV/0!</v>
      </c>
      <c r="AL65" s="19" t="e">
        <f t="shared" si="16"/>
        <v>#DIV/0!</v>
      </c>
      <c r="AM65" s="19">
        <f t="shared" si="33"/>
        <v>0</v>
      </c>
      <c r="AN65" s="19" t="e">
        <f t="shared" si="17"/>
        <v>#DIV/0!</v>
      </c>
      <c r="AO65" s="19" t="e">
        <f t="shared" si="18"/>
        <v>#DIV/0!</v>
      </c>
      <c r="AP65" s="18" t="e">
        <f>-PV(#REF!,'3.4 - Open'!K65,'3.4 - Open'!P65)*'3.4 - Open'!B65</f>
        <v>#REF!</v>
      </c>
      <c r="AQ65" s="19" t="e">
        <f t="shared" si="19"/>
        <v>#REF!</v>
      </c>
      <c r="AR65" s="19" t="e">
        <f t="shared" si="20"/>
        <v>#REF!</v>
      </c>
      <c r="AS65" s="18" t="e">
        <f>B65*G65*K65*#REF!</f>
        <v>#REF!</v>
      </c>
      <c r="AT65" s="19" t="e">
        <f>B65*I65*K65*#REF!</f>
        <v>#REF!</v>
      </c>
      <c r="AU65" s="24"/>
      <c r="AV65" s="24"/>
      <c r="AW65" s="24"/>
      <c r="AX65" s="24"/>
      <c r="AY65" s="24"/>
    </row>
    <row r="66" spans="1:51" x14ac:dyDescent="0.25">
      <c r="A66" s="14"/>
      <c r="B66" s="14"/>
      <c r="C66" s="14"/>
      <c r="D66" s="14" t="s">
        <v>24</v>
      </c>
      <c r="E66" s="15"/>
      <c r="F66" s="15"/>
      <c r="G66" s="14"/>
      <c r="H66" s="14"/>
      <c r="I66" s="14"/>
      <c r="J66" s="14"/>
      <c r="K66" s="14"/>
      <c r="L66" s="14"/>
      <c r="M66" s="15"/>
      <c r="N66" s="15"/>
      <c r="O66" s="15"/>
      <c r="P66" s="15"/>
      <c r="Q66" s="15"/>
      <c r="R66" s="15"/>
      <c r="S66" s="15"/>
      <c r="T66" s="18">
        <f>IF(C66="Res Space Heat",VLOOKUP(K66,#REF!,4)*G66,IF(C66="Res AC",VLOOKUP(K66,#REF!,6)*G66,IF(C66="Res Lighting",VLOOKUP(K66,#REF!,8)*G66,IF(C66="Res Refrigeration",VLOOKUP(K66,#REF!,10)*G66,IF(C66="Res Water Heating",VLOOKUP(K66,#REF!,12)*G66,IF(C66="Res Dishwasher",VLOOKUP(K66,#REF!,14)*G66,IF(C66="Res Washer Dryer",VLOOKUP(K66,#REF!,16)*G66,IF(C66="Res Misc",VLOOKUP(K66,#REF!,18)*G66,IF(C66="Res Furnace Fan",VLOOKUP(K66,#REF!,20)*G66,IF(C66="NonRes Compressed Air",VLOOKUP(K66,#REF!,22)*G66,IF(C66="NonRes Cooking",VLOOKUP(K66,#REF!,24)*G66,IF(C66="NonRes Space Cooling",VLOOKUP(K66,#REF!,26)*G66,IF(C66="NonRes Exterior Lighting",VLOOKUP(K66,#REF!,28)*G66,IF(C66="NonRes Space Heating",VLOOKUP(K66,#REF!,30)*G66,IF(C66="NonRes Water Heating",VLOOKUP(K66,#REF!,32)*G66,IF(C66="NonRes Interior Lighting",VLOOKUP(K66,#REF!,34)*G66,IF(C66="NonRes Misc",VLOOKUP(K66,#REF!,36)*G66,IF(C66="NonRes Motors",VLOOKUP(K66,#REF!,38)*G66,IF(C66="NonRes Office Equipment",VLOOKUP(K66,#REF!,40)*G66,IF(C66="NonRes Process",VLOOKUP(K66,#REF!,42)*G66,IF(C66="NonRes Refrigeration",VLOOKUP(K66,#REF!,44)*G66,IF(C66="NonRes Ventilation",VLOOKUP(K66,#REF!,46)*G66,0))))))))))))))))))))))</f>
        <v>0</v>
      </c>
      <c r="U66" s="18">
        <f>IF(D66="Annual",VLOOKUP(K66,#REF!,4)*'3.4 - Open'!I66,IF(D66="Winter",VLOOKUP('3.4 - Open'!K66,#REF!,5)*'3.4 - Open'!I66,IF(D66="NA",0,0)))</f>
        <v>0</v>
      </c>
      <c r="V66" s="19" t="e">
        <f t="shared" si="21"/>
        <v>#DIV/0!</v>
      </c>
      <c r="W66" s="19" t="e">
        <f t="shared" si="22"/>
        <v>#DIV/0!</v>
      </c>
      <c r="X66" s="19" t="e">
        <f t="shared" si="23"/>
        <v>#DIV/0!</v>
      </c>
      <c r="Y66" s="19" t="e">
        <f t="shared" si="24"/>
        <v>#DIV/0!</v>
      </c>
      <c r="Z66" s="20" t="e">
        <f>(T66+U66+(PV(#REF!,'3.4 - Open'!K66,'3.4 - Open'!P66)*-1)+'3.4 - Open'!O66)/'3.4 - Open'!E66</f>
        <v>#REF!</v>
      </c>
      <c r="AA66" s="20" t="e">
        <f t="shared" si="34"/>
        <v>#DIV/0!</v>
      </c>
      <c r="AB66" s="21">
        <f t="shared" si="25"/>
        <v>0</v>
      </c>
      <c r="AC66" s="20">
        <f t="shared" si="26"/>
        <v>0</v>
      </c>
      <c r="AD66" s="20">
        <f t="shared" si="27"/>
        <v>0</v>
      </c>
      <c r="AE66" s="20">
        <f t="shared" si="28"/>
        <v>0</v>
      </c>
      <c r="AF66" s="19" t="e">
        <f t="shared" si="29"/>
        <v>#DIV/0!</v>
      </c>
      <c r="AG66" s="19" t="e">
        <f t="shared" si="30"/>
        <v>#DIV/0!</v>
      </c>
      <c r="AH66" s="19" t="e">
        <f t="shared" si="31"/>
        <v>#DIV/0!</v>
      </c>
      <c r="AI66" s="19" t="e">
        <f t="shared" si="32"/>
        <v>#DIV/0!</v>
      </c>
      <c r="AJ66" s="15">
        <f t="shared" si="35"/>
        <v>0</v>
      </c>
      <c r="AK66" s="19" t="e">
        <f t="shared" si="15"/>
        <v>#DIV/0!</v>
      </c>
      <c r="AL66" s="19" t="e">
        <f t="shared" si="16"/>
        <v>#DIV/0!</v>
      </c>
      <c r="AM66" s="19">
        <f t="shared" si="33"/>
        <v>0</v>
      </c>
      <c r="AN66" s="19" t="e">
        <f t="shared" si="17"/>
        <v>#DIV/0!</v>
      </c>
      <c r="AO66" s="19" t="e">
        <f t="shared" si="18"/>
        <v>#DIV/0!</v>
      </c>
      <c r="AP66" s="18" t="e">
        <f>-PV(#REF!,'3.4 - Open'!K66,'3.4 - Open'!P66)*'3.4 - Open'!B66</f>
        <v>#REF!</v>
      </c>
      <c r="AQ66" s="19" t="e">
        <f t="shared" si="19"/>
        <v>#REF!</v>
      </c>
      <c r="AR66" s="19" t="e">
        <f t="shared" si="20"/>
        <v>#REF!</v>
      </c>
      <c r="AS66" s="18" t="e">
        <f>B66*G66*K66*#REF!</f>
        <v>#REF!</v>
      </c>
      <c r="AT66" s="19" t="e">
        <f>B66*I66*K66*#REF!</f>
        <v>#REF!</v>
      </c>
      <c r="AU66" s="24"/>
      <c r="AV66" s="24"/>
      <c r="AW66" s="24"/>
      <c r="AX66" s="24"/>
      <c r="AY66" s="24"/>
    </row>
    <row r="67" spans="1:51" x14ac:dyDescent="0.25">
      <c r="A67" s="14"/>
      <c r="B67" s="14"/>
      <c r="C67" s="14"/>
      <c r="D67" s="14" t="s">
        <v>24</v>
      </c>
      <c r="E67" s="15"/>
      <c r="F67" s="15"/>
      <c r="G67" s="14"/>
      <c r="H67" s="14"/>
      <c r="I67" s="14"/>
      <c r="J67" s="14"/>
      <c r="K67" s="14"/>
      <c r="L67" s="14"/>
      <c r="M67" s="15"/>
      <c r="N67" s="15"/>
      <c r="O67" s="15"/>
      <c r="P67" s="15"/>
      <c r="Q67" s="15"/>
      <c r="R67" s="15"/>
      <c r="S67" s="15"/>
      <c r="T67" s="18">
        <f>IF(C67="Res Space Heat",VLOOKUP(K67,#REF!,4)*G67,IF(C67="Res AC",VLOOKUP(K67,#REF!,6)*G67,IF(C67="Res Lighting",VLOOKUP(K67,#REF!,8)*G67,IF(C67="Res Refrigeration",VLOOKUP(K67,#REF!,10)*G67,IF(C67="Res Water Heating",VLOOKUP(K67,#REF!,12)*G67,IF(C67="Res Dishwasher",VLOOKUP(K67,#REF!,14)*G67,IF(C67="Res Washer Dryer",VLOOKUP(K67,#REF!,16)*G67,IF(C67="Res Misc",VLOOKUP(K67,#REF!,18)*G67,IF(C67="Res Furnace Fan",VLOOKUP(K67,#REF!,20)*G67,IF(C67="NonRes Compressed Air",VLOOKUP(K67,#REF!,22)*G67,IF(C67="NonRes Cooking",VLOOKUP(K67,#REF!,24)*G67,IF(C67="NonRes Space Cooling",VLOOKUP(K67,#REF!,26)*G67,IF(C67="NonRes Exterior Lighting",VLOOKUP(K67,#REF!,28)*G67,IF(C67="NonRes Space Heating",VLOOKUP(K67,#REF!,30)*G67,IF(C67="NonRes Water Heating",VLOOKUP(K67,#REF!,32)*G67,IF(C67="NonRes Interior Lighting",VLOOKUP(K67,#REF!,34)*G67,IF(C67="NonRes Misc",VLOOKUP(K67,#REF!,36)*G67,IF(C67="NonRes Motors",VLOOKUP(K67,#REF!,38)*G67,IF(C67="NonRes Office Equipment",VLOOKUP(K67,#REF!,40)*G67,IF(C67="NonRes Process",VLOOKUP(K67,#REF!,42)*G67,IF(C67="NonRes Refrigeration",VLOOKUP(K67,#REF!,44)*G67,IF(C67="NonRes Ventilation",VLOOKUP(K67,#REF!,46)*G67,0))))))))))))))))))))))</f>
        <v>0</v>
      </c>
      <c r="U67" s="18">
        <f>IF(D67="Annual",VLOOKUP(K67,#REF!,4)*'3.4 - Open'!I67,IF(D67="Winter",VLOOKUP('3.4 - Open'!K67,#REF!,5)*'3.4 - Open'!I67,IF(D67="NA",0,0)))</f>
        <v>0</v>
      </c>
      <c r="V67" s="19" t="e">
        <f t="shared" si="21"/>
        <v>#DIV/0!</v>
      </c>
      <c r="W67" s="19" t="e">
        <f t="shared" si="22"/>
        <v>#DIV/0!</v>
      </c>
      <c r="X67" s="19" t="e">
        <f t="shared" si="23"/>
        <v>#DIV/0!</v>
      </c>
      <c r="Y67" s="19" t="e">
        <f t="shared" si="24"/>
        <v>#DIV/0!</v>
      </c>
      <c r="Z67" s="20" t="e">
        <f>(T67+U67+(PV(#REF!,'3.4 - Open'!K67,'3.4 - Open'!P67)*-1)+'3.4 - Open'!O67)/'3.4 - Open'!E67</f>
        <v>#REF!</v>
      </c>
      <c r="AA67" s="20" t="e">
        <f t="shared" si="34"/>
        <v>#DIV/0!</v>
      </c>
      <c r="AB67" s="21">
        <f t="shared" si="25"/>
        <v>0</v>
      </c>
      <c r="AC67" s="20">
        <f t="shared" si="26"/>
        <v>0</v>
      </c>
      <c r="AD67" s="20">
        <f t="shared" si="27"/>
        <v>0</v>
      </c>
      <c r="AE67" s="20">
        <f t="shared" si="28"/>
        <v>0</v>
      </c>
      <c r="AF67" s="19" t="e">
        <f t="shared" si="29"/>
        <v>#DIV/0!</v>
      </c>
      <c r="AG67" s="19" t="e">
        <f t="shared" si="30"/>
        <v>#DIV/0!</v>
      </c>
      <c r="AH67" s="19" t="e">
        <f t="shared" si="31"/>
        <v>#DIV/0!</v>
      </c>
      <c r="AI67" s="19" t="e">
        <f t="shared" si="32"/>
        <v>#DIV/0!</v>
      </c>
      <c r="AJ67" s="15">
        <f t="shared" si="35"/>
        <v>0</v>
      </c>
      <c r="AK67" s="19" t="e">
        <f t="shared" si="15"/>
        <v>#DIV/0!</v>
      </c>
      <c r="AL67" s="19" t="e">
        <f t="shared" si="16"/>
        <v>#DIV/0!</v>
      </c>
      <c r="AM67" s="19">
        <f t="shared" si="33"/>
        <v>0</v>
      </c>
      <c r="AN67" s="19" t="e">
        <f t="shared" si="17"/>
        <v>#DIV/0!</v>
      </c>
      <c r="AO67" s="19" t="e">
        <f t="shared" si="18"/>
        <v>#DIV/0!</v>
      </c>
      <c r="AP67" s="18" t="e">
        <f>-PV(#REF!,'3.4 - Open'!K67,'3.4 - Open'!P67)*'3.4 - Open'!B67</f>
        <v>#REF!</v>
      </c>
      <c r="AQ67" s="19" t="e">
        <f t="shared" si="19"/>
        <v>#REF!</v>
      </c>
      <c r="AR67" s="19" t="e">
        <f t="shared" si="20"/>
        <v>#REF!</v>
      </c>
      <c r="AS67" s="18" t="e">
        <f>B67*G67*K67*#REF!</f>
        <v>#REF!</v>
      </c>
      <c r="AT67" s="19" t="e">
        <f>B67*I67*K67*#REF!</f>
        <v>#REF!</v>
      </c>
      <c r="AU67" s="24"/>
      <c r="AV67" s="24"/>
      <c r="AW67" s="24"/>
      <c r="AX67" s="24"/>
      <c r="AY67" s="24"/>
    </row>
    <row r="68" spans="1:51" x14ac:dyDescent="0.25">
      <c r="A68" s="14"/>
      <c r="B68" s="14"/>
      <c r="C68" s="14"/>
      <c r="D68" s="14" t="s">
        <v>24</v>
      </c>
      <c r="E68" s="15"/>
      <c r="F68" s="15"/>
      <c r="G68" s="14"/>
      <c r="H68" s="14"/>
      <c r="I68" s="14"/>
      <c r="J68" s="14"/>
      <c r="K68" s="14"/>
      <c r="L68" s="14"/>
      <c r="M68" s="15"/>
      <c r="N68" s="15"/>
      <c r="O68" s="15"/>
      <c r="P68" s="15"/>
      <c r="Q68" s="15"/>
      <c r="R68" s="15"/>
      <c r="S68" s="15"/>
      <c r="T68" s="18">
        <f>IF(C68="Res Space Heat",VLOOKUP(K68,#REF!,4)*G68,IF(C68="Res AC",VLOOKUP(K68,#REF!,6)*G68,IF(C68="Res Lighting",VLOOKUP(K68,#REF!,8)*G68,IF(C68="Res Refrigeration",VLOOKUP(K68,#REF!,10)*G68,IF(C68="Res Water Heating",VLOOKUP(K68,#REF!,12)*G68,IF(C68="Res Dishwasher",VLOOKUP(K68,#REF!,14)*G68,IF(C68="Res Washer Dryer",VLOOKUP(K68,#REF!,16)*G68,IF(C68="Res Misc",VLOOKUP(K68,#REF!,18)*G68,IF(C68="Res Furnace Fan",VLOOKUP(K68,#REF!,20)*G68,IF(C68="NonRes Compressed Air",VLOOKUP(K68,#REF!,22)*G68,IF(C68="NonRes Cooking",VLOOKUP(K68,#REF!,24)*G68,IF(C68="NonRes Space Cooling",VLOOKUP(K68,#REF!,26)*G68,IF(C68="NonRes Exterior Lighting",VLOOKUP(K68,#REF!,28)*G68,IF(C68="NonRes Space Heating",VLOOKUP(K68,#REF!,30)*G68,IF(C68="NonRes Water Heating",VLOOKUP(K68,#REF!,32)*G68,IF(C68="NonRes Interior Lighting",VLOOKUP(K68,#REF!,34)*G68,IF(C68="NonRes Misc",VLOOKUP(K68,#REF!,36)*G68,IF(C68="NonRes Motors",VLOOKUP(K68,#REF!,38)*G68,IF(C68="NonRes Office Equipment",VLOOKUP(K68,#REF!,40)*G68,IF(C68="NonRes Process",VLOOKUP(K68,#REF!,42)*G68,IF(C68="NonRes Refrigeration",VLOOKUP(K68,#REF!,44)*G68,IF(C68="NonRes Ventilation",VLOOKUP(K68,#REF!,46)*G68,0))))))))))))))))))))))</f>
        <v>0</v>
      </c>
      <c r="U68" s="18">
        <f>IF(D68="Annual",VLOOKUP(K68,#REF!,4)*'3.4 - Open'!I68,IF(D68="Winter",VLOOKUP('3.4 - Open'!K68,#REF!,5)*'3.4 - Open'!I68,IF(D68="NA",0,0)))</f>
        <v>0</v>
      </c>
      <c r="V68" s="19" t="e">
        <f t="shared" ref="V68:V99" si="36">(T68/(T68+U68))*E68</f>
        <v>#DIV/0!</v>
      </c>
      <c r="W68" s="19" t="e">
        <f t="shared" ref="W68:W99" si="37">E68-V68</f>
        <v>#DIV/0!</v>
      </c>
      <c r="X68" s="19" t="e">
        <f t="shared" ref="X68:X102" si="38">(T68/(T68+U68))*M68</f>
        <v>#DIV/0!</v>
      </c>
      <c r="Y68" s="19" t="e">
        <f t="shared" ref="Y68:Y99" si="39">M68-X68</f>
        <v>#DIV/0!</v>
      </c>
      <c r="Z68" s="20" t="e">
        <f>(T68+U68+(PV(#REF!,'3.4 - Open'!K68,'3.4 - Open'!P68)*-1)+'3.4 - Open'!O68)/'3.4 - Open'!E68</f>
        <v>#REF!</v>
      </c>
      <c r="AA68" s="20" t="e">
        <f t="shared" si="34"/>
        <v>#DIV/0!</v>
      </c>
      <c r="AB68" s="21">
        <f t="shared" ref="AB68:AB102" si="40">G68*B68</f>
        <v>0</v>
      </c>
      <c r="AC68" s="20">
        <f t="shared" ref="AC68:AC102" si="41">I68*B68</f>
        <v>0</v>
      </c>
      <c r="AD68" s="20">
        <f t="shared" ref="AD68:AD102" si="42">T68*B68</f>
        <v>0</v>
      </c>
      <c r="AE68" s="20">
        <f t="shared" ref="AE68:AE102" si="43">U68*B68</f>
        <v>0</v>
      </c>
      <c r="AF68" s="19" t="e">
        <f t="shared" ref="AF68:AF102" si="44">B68*V68</f>
        <v>#DIV/0!</v>
      </c>
      <c r="AG68" s="19" t="e">
        <f t="shared" ref="AG68:AG102" si="45">W68*B68</f>
        <v>#DIV/0!</v>
      </c>
      <c r="AH68" s="19" t="e">
        <f t="shared" ref="AH68:AH102" si="46">B68*X68</f>
        <v>#DIV/0!</v>
      </c>
      <c r="AI68" s="19" t="e">
        <f t="shared" ref="AI68:AI102" si="47">B68*Y68</f>
        <v>#DIV/0!</v>
      </c>
      <c r="AJ68" s="15">
        <f t="shared" si="35"/>
        <v>0</v>
      </c>
      <c r="AK68" s="19" t="e">
        <f t="shared" si="15"/>
        <v>#DIV/0!</v>
      </c>
      <c r="AL68" s="19" t="e">
        <f t="shared" si="16"/>
        <v>#DIV/0!</v>
      </c>
      <c r="AM68" s="19">
        <f t="shared" ref="AM68:AM102" si="48">O68*B68</f>
        <v>0</v>
      </c>
      <c r="AN68" s="19" t="e">
        <f t="shared" si="17"/>
        <v>#DIV/0!</v>
      </c>
      <c r="AO68" s="19" t="e">
        <f t="shared" si="18"/>
        <v>#DIV/0!</v>
      </c>
      <c r="AP68" s="18" t="e">
        <f>-PV(#REF!,'3.4 - Open'!K68,'3.4 - Open'!P68)*'3.4 - Open'!B68</f>
        <v>#REF!</v>
      </c>
      <c r="AQ68" s="19" t="e">
        <f t="shared" si="19"/>
        <v>#REF!</v>
      </c>
      <c r="AR68" s="19" t="e">
        <f t="shared" si="20"/>
        <v>#REF!</v>
      </c>
      <c r="AS68" s="18" t="e">
        <f>B68*G68*K68*#REF!</f>
        <v>#REF!</v>
      </c>
      <c r="AT68" s="19" t="e">
        <f>B68*I68*K68*#REF!</f>
        <v>#REF!</v>
      </c>
      <c r="AU68" s="24"/>
      <c r="AV68" s="24"/>
      <c r="AW68" s="24"/>
      <c r="AX68" s="24"/>
      <c r="AY68" s="24"/>
    </row>
    <row r="69" spans="1:51" x14ac:dyDescent="0.25">
      <c r="A69" s="14"/>
      <c r="B69" s="14"/>
      <c r="C69" s="14"/>
      <c r="D69" s="14" t="s">
        <v>24</v>
      </c>
      <c r="E69" s="15"/>
      <c r="F69" s="15"/>
      <c r="G69" s="14"/>
      <c r="H69" s="14"/>
      <c r="I69" s="14"/>
      <c r="J69" s="14"/>
      <c r="K69" s="14"/>
      <c r="L69" s="14"/>
      <c r="M69" s="15"/>
      <c r="N69" s="15"/>
      <c r="O69" s="15"/>
      <c r="P69" s="15"/>
      <c r="Q69" s="15"/>
      <c r="R69" s="15"/>
      <c r="S69" s="15"/>
      <c r="T69" s="18">
        <f>IF(C69="Res Space Heat",VLOOKUP(K69,#REF!,4)*G69,IF(C69="Res AC",VLOOKUP(K69,#REF!,6)*G69,IF(C69="Res Lighting",VLOOKUP(K69,#REF!,8)*G69,IF(C69="Res Refrigeration",VLOOKUP(K69,#REF!,10)*G69,IF(C69="Res Water Heating",VLOOKUP(K69,#REF!,12)*G69,IF(C69="Res Dishwasher",VLOOKUP(K69,#REF!,14)*G69,IF(C69="Res Washer Dryer",VLOOKUP(K69,#REF!,16)*G69,IF(C69="Res Misc",VLOOKUP(K69,#REF!,18)*G69,IF(C69="Res Furnace Fan",VLOOKUP(K69,#REF!,20)*G69,IF(C69="NonRes Compressed Air",VLOOKUP(K69,#REF!,22)*G69,IF(C69="NonRes Cooking",VLOOKUP(K69,#REF!,24)*G69,IF(C69="NonRes Space Cooling",VLOOKUP(K69,#REF!,26)*G69,IF(C69="NonRes Exterior Lighting",VLOOKUP(K69,#REF!,28)*G69,IF(C69="NonRes Space Heating",VLOOKUP(K69,#REF!,30)*G69,IF(C69="NonRes Water Heating",VLOOKUP(K69,#REF!,32)*G69,IF(C69="NonRes Interior Lighting",VLOOKUP(K69,#REF!,34)*G69,IF(C69="NonRes Misc",VLOOKUP(K69,#REF!,36)*G69,IF(C69="NonRes Motors",VLOOKUP(K69,#REF!,38)*G69,IF(C69="NonRes Office Equipment",VLOOKUP(K69,#REF!,40)*G69,IF(C69="NonRes Process",VLOOKUP(K69,#REF!,42)*G69,IF(C69="NonRes Refrigeration",VLOOKUP(K69,#REF!,44)*G69,IF(C69="NonRes Ventilation",VLOOKUP(K69,#REF!,46)*G69,0))))))))))))))))))))))</f>
        <v>0</v>
      </c>
      <c r="U69" s="18">
        <f>IF(D69="Annual",VLOOKUP(K69,#REF!,4)*'3.4 - Open'!I69,IF(D69="Winter",VLOOKUP('3.4 - Open'!K69,#REF!,5)*'3.4 - Open'!I69,IF(D69="NA",0,0)))</f>
        <v>0</v>
      </c>
      <c r="V69" s="19" t="e">
        <f t="shared" si="36"/>
        <v>#DIV/0!</v>
      </c>
      <c r="W69" s="19" t="e">
        <f t="shared" si="37"/>
        <v>#DIV/0!</v>
      </c>
      <c r="X69" s="19" t="e">
        <f t="shared" si="38"/>
        <v>#DIV/0!</v>
      </c>
      <c r="Y69" s="19" t="e">
        <f t="shared" si="39"/>
        <v>#DIV/0!</v>
      </c>
      <c r="Z69" s="20" t="e">
        <f>(T69+U69+(PV(#REF!,'3.4 - Open'!K69,'3.4 - Open'!P69)*-1)+'3.4 - Open'!O69)/'3.4 - Open'!E69</f>
        <v>#REF!</v>
      </c>
      <c r="AA69" s="20" t="e">
        <f t="shared" ref="AA69:AA102" si="49">((T69+U69)/1.1)/M69</f>
        <v>#DIV/0!</v>
      </c>
      <c r="AB69" s="21">
        <f t="shared" si="40"/>
        <v>0</v>
      </c>
      <c r="AC69" s="20">
        <f t="shared" si="41"/>
        <v>0</v>
      </c>
      <c r="AD69" s="20">
        <f t="shared" si="42"/>
        <v>0</v>
      </c>
      <c r="AE69" s="20">
        <f t="shared" si="43"/>
        <v>0</v>
      </c>
      <c r="AF69" s="19" t="e">
        <f t="shared" si="44"/>
        <v>#DIV/0!</v>
      </c>
      <c r="AG69" s="19" t="e">
        <f t="shared" si="45"/>
        <v>#DIV/0!</v>
      </c>
      <c r="AH69" s="19" t="e">
        <f t="shared" si="46"/>
        <v>#DIV/0!</v>
      </c>
      <c r="AI69" s="19" t="e">
        <f t="shared" si="47"/>
        <v>#DIV/0!</v>
      </c>
      <c r="AJ69" s="15">
        <f t="shared" ref="AJ69:AJ103" si="50">((G69*0.12)-M69)*B69</f>
        <v>0</v>
      </c>
      <c r="AK69" s="19" t="e">
        <f t="shared" ref="AK69:AK102" si="51">AJ69*(T69/(T69+U69))</f>
        <v>#DIV/0!</v>
      </c>
      <c r="AL69" s="19" t="e">
        <f t="shared" ref="AL69:AL102" si="52">AJ69-AK69</f>
        <v>#DIV/0!</v>
      </c>
      <c r="AM69" s="19">
        <f t="shared" si="48"/>
        <v>0</v>
      </c>
      <c r="AN69" s="19" t="e">
        <f t="shared" ref="AN69:AN102" si="53">AM69*(T69/(T69+U69))</f>
        <v>#DIV/0!</v>
      </c>
      <c r="AO69" s="19" t="e">
        <f t="shared" ref="AO69:AO102" si="54">AM69-AN69</f>
        <v>#DIV/0!</v>
      </c>
      <c r="AP69" s="18" t="e">
        <f>-PV(#REF!,'3.4 - Open'!K69,'3.4 - Open'!P69)*'3.4 - Open'!B69</f>
        <v>#REF!</v>
      </c>
      <c r="AQ69" s="19" t="e">
        <f t="shared" ref="AQ69:AQ102" si="55">AP69*(T69/(T69+U69))</f>
        <v>#REF!</v>
      </c>
      <c r="AR69" s="19" t="e">
        <f t="shared" ref="AR69:AR102" si="56">AP69-AQ69</f>
        <v>#REF!</v>
      </c>
      <c r="AS69" s="18" t="e">
        <f>B69*G69*K69*#REF!</f>
        <v>#REF!</v>
      </c>
      <c r="AT69" s="19" t="e">
        <f>B69*I69*K69*#REF!</f>
        <v>#REF!</v>
      </c>
      <c r="AU69" s="24"/>
      <c r="AV69" s="24"/>
      <c r="AW69" s="24"/>
      <c r="AX69" s="24"/>
      <c r="AY69" s="24"/>
    </row>
    <row r="70" spans="1:51" x14ac:dyDescent="0.25">
      <c r="A70" s="14"/>
      <c r="B70" s="14"/>
      <c r="C70" s="14"/>
      <c r="D70" s="14" t="s">
        <v>24</v>
      </c>
      <c r="E70" s="15"/>
      <c r="F70" s="15"/>
      <c r="G70" s="14"/>
      <c r="H70" s="14"/>
      <c r="I70" s="14"/>
      <c r="J70" s="14"/>
      <c r="K70" s="14"/>
      <c r="L70" s="14"/>
      <c r="M70" s="15"/>
      <c r="N70" s="15"/>
      <c r="O70" s="15"/>
      <c r="P70" s="15"/>
      <c r="Q70" s="15"/>
      <c r="R70" s="15"/>
      <c r="S70" s="15"/>
      <c r="T70" s="18">
        <f>IF(C70="Res Space Heat",VLOOKUP(K70,#REF!,4)*G70,IF(C70="Res AC",VLOOKUP(K70,#REF!,6)*G70,IF(C70="Res Lighting",VLOOKUP(K70,#REF!,8)*G70,IF(C70="Res Refrigeration",VLOOKUP(K70,#REF!,10)*G70,IF(C70="Res Water Heating",VLOOKUP(K70,#REF!,12)*G70,IF(C70="Res Dishwasher",VLOOKUP(K70,#REF!,14)*G70,IF(C70="Res Washer Dryer",VLOOKUP(K70,#REF!,16)*G70,IF(C70="Res Misc",VLOOKUP(K70,#REF!,18)*G70,IF(C70="Res Furnace Fan",VLOOKUP(K70,#REF!,20)*G70,IF(C70="NonRes Compressed Air",VLOOKUP(K70,#REF!,22)*G70,IF(C70="NonRes Cooking",VLOOKUP(K70,#REF!,24)*G70,IF(C70="NonRes Space Cooling",VLOOKUP(K70,#REF!,26)*G70,IF(C70="NonRes Exterior Lighting",VLOOKUP(K70,#REF!,28)*G70,IF(C70="NonRes Space Heating",VLOOKUP(K70,#REF!,30)*G70,IF(C70="NonRes Water Heating",VLOOKUP(K70,#REF!,32)*G70,IF(C70="NonRes Interior Lighting",VLOOKUP(K70,#REF!,34)*G70,IF(C70="NonRes Misc",VLOOKUP(K70,#REF!,36)*G70,IF(C70="NonRes Motors",VLOOKUP(K70,#REF!,38)*G70,IF(C70="NonRes Office Equipment",VLOOKUP(K70,#REF!,40)*G70,IF(C70="NonRes Process",VLOOKUP(K70,#REF!,42)*G70,IF(C70="NonRes Refrigeration",VLOOKUP(K70,#REF!,44)*G70,IF(C70="NonRes Ventilation",VLOOKUP(K70,#REF!,46)*G70,0))))))))))))))))))))))</f>
        <v>0</v>
      </c>
      <c r="U70" s="18">
        <f>IF(D70="Annual",VLOOKUP(K70,#REF!,4)*'3.4 - Open'!I70,IF(D70="Winter",VLOOKUP('3.4 - Open'!K70,#REF!,5)*'3.4 - Open'!I70,IF(D70="NA",0,0)))</f>
        <v>0</v>
      </c>
      <c r="V70" s="19" t="e">
        <f t="shared" si="36"/>
        <v>#DIV/0!</v>
      </c>
      <c r="W70" s="19" t="e">
        <f t="shared" si="37"/>
        <v>#DIV/0!</v>
      </c>
      <c r="X70" s="19" t="e">
        <f t="shared" si="38"/>
        <v>#DIV/0!</v>
      </c>
      <c r="Y70" s="19" t="e">
        <f t="shared" si="39"/>
        <v>#DIV/0!</v>
      </c>
      <c r="Z70" s="20" t="e">
        <f>(T70+U70+(PV(#REF!,'3.4 - Open'!K70,'3.4 - Open'!P70)*-1)+'3.4 - Open'!O70)/'3.4 - Open'!E70</f>
        <v>#REF!</v>
      </c>
      <c r="AA70" s="20" t="e">
        <f t="shared" si="49"/>
        <v>#DIV/0!</v>
      </c>
      <c r="AB70" s="21">
        <f t="shared" si="40"/>
        <v>0</v>
      </c>
      <c r="AC70" s="20">
        <f t="shared" si="41"/>
        <v>0</v>
      </c>
      <c r="AD70" s="20">
        <f t="shared" si="42"/>
        <v>0</v>
      </c>
      <c r="AE70" s="20">
        <f t="shared" si="43"/>
        <v>0</v>
      </c>
      <c r="AF70" s="19" t="e">
        <f t="shared" si="44"/>
        <v>#DIV/0!</v>
      </c>
      <c r="AG70" s="19" t="e">
        <f t="shared" si="45"/>
        <v>#DIV/0!</v>
      </c>
      <c r="AH70" s="19" t="e">
        <f t="shared" si="46"/>
        <v>#DIV/0!</v>
      </c>
      <c r="AI70" s="19" t="e">
        <f t="shared" si="47"/>
        <v>#DIV/0!</v>
      </c>
      <c r="AJ70" s="15">
        <f t="shared" si="50"/>
        <v>0</v>
      </c>
      <c r="AK70" s="19" t="e">
        <f t="shared" si="51"/>
        <v>#DIV/0!</v>
      </c>
      <c r="AL70" s="19" t="e">
        <f t="shared" si="52"/>
        <v>#DIV/0!</v>
      </c>
      <c r="AM70" s="19">
        <f t="shared" si="48"/>
        <v>0</v>
      </c>
      <c r="AN70" s="19" t="e">
        <f t="shared" si="53"/>
        <v>#DIV/0!</v>
      </c>
      <c r="AO70" s="19" t="e">
        <f t="shared" si="54"/>
        <v>#DIV/0!</v>
      </c>
      <c r="AP70" s="18" t="e">
        <f>-PV(#REF!,'3.4 - Open'!K70,'3.4 - Open'!P70)*'3.4 - Open'!B70</f>
        <v>#REF!</v>
      </c>
      <c r="AQ70" s="19" t="e">
        <f t="shared" si="55"/>
        <v>#REF!</v>
      </c>
      <c r="AR70" s="19" t="e">
        <f t="shared" si="56"/>
        <v>#REF!</v>
      </c>
      <c r="AS70" s="18" t="e">
        <f>B70*G70*K70*#REF!</f>
        <v>#REF!</v>
      </c>
      <c r="AT70" s="19" t="e">
        <f>B70*I70*K70*#REF!</f>
        <v>#REF!</v>
      </c>
      <c r="AU70" s="24"/>
      <c r="AV70" s="24"/>
      <c r="AW70" s="24"/>
      <c r="AX70" s="24"/>
      <c r="AY70" s="24"/>
    </row>
    <row r="71" spans="1:51" x14ac:dyDescent="0.25">
      <c r="A71" s="14"/>
      <c r="B71" s="14"/>
      <c r="C71" s="14"/>
      <c r="D71" s="14" t="s">
        <v>24</v>
      </c>
      <c r="E71" s="15"/>
      <c r="F71" s="15"/>
      <c r="G71" s="14"/>
      <c r="H71" s="14"/>
      <c r="I71" s="14"/>
      <c r="J71" s="14"/>
      <c r="K71" s="14"/>
      <c r="L71" s="14"/>
      <c r="M71" s="15"/>
      <c r="N71" s="15"/>
      <c r="O71" s="15"/>
      <c r="P71" s="15"/>
      <c r="Q71" s="15"/>
      <c r="R71" s="15"/>
      <c r="S71" s="15"/>
      <c r="T71" s="18">
        <f>IF(C71="Res Space Heat",VLOOKUP(K71,#REF!,4)*G71,IF(C71="Res AC",VLOOKUP(K71,#REF!,6)*G71,IF(C71="Res Lighting",VLOOKUP(K71,#REF!,8)*G71,IF(C71="Res Refrigeration",VLOOKUP(K71,#REF!,10)*G71,IF(C71="Res Water Heating",VLOOKUP(K71,#REF!,12)*G71,IF(C71="Res Dishwasher",VLOOKUP(K71,#REF!,14)*G71,IF(C71="Res Washer Dryer",VLOOKUP(K71,#REF!,16)*G71,IF(C71="Res Misc",VLOOKUP(K71,#REF!,18)*G71,IF(C71="Res Furnace Fan",VLOOKUP(K71,#REF!,20)*G71,IF(C71="NonRes Compressed Air",VLOOKUP(K71,#REF!,22)*G71,IF(C71="NonRes Cooking",VLOOKUP(K71,#REF!,24)*G71,IF(C71="NonRes Space Cooling",VLOOKUP(K71,#REF!,26)*G71,IF(C71="NonRes Exterior Lighting",VLOOKUP(K71,#REF!,28)*G71,IF(C71="NonRes Space Heating",VLOOKUP(K71,#REF!,30)*G71,IF(C71="NonRes Water Heating",VLOOKUP(K71,#REF!,32)*G71,IF(C71="NonRes Interior Lighting",VLOOKUP(K71,#REF!,34)*G71,IF(C71="NonRes Misc",VLOOKUP(K71,#REF!,36)*G71,IF(C71="NonRes Motors",VLOOKUP(K71,#REF!,38)*G71,IF(C71="NonRes Office Equipment",VLOOKUP(K71,#REF!,40)*G71,IF(C71="NonRes Process",VLOOKUP(K71,#REF!,42)*G71,IF(C71="NonRes Refrigeration",VLOOKUP(K71,#REF!,44)*G71,IF(C71="NonRes Ventilation",VLOOKUP(K71,#REF!,46)*G71,0))))))))))))))))))))))</f>
        <v>0</v>
      </c>
      <c r="U71" s="18">
        <f>IF(D71="Annual",VLOOKUP(K71,#REF!,4)*'3.4 - Open'!I71,IF(D71="Winter",VLOOKUP('3.4 - Open'!K71,#REF!,5)*'3.4 - Open'!I71,IF(D71="NA",0,0)))</f>
        <v>0</v>
      </c>
      <c r="V71" s="19" t="e">
        <f t="shared" si="36"/>
        <v>#DIV/0!</v>
      </c>
      <c r="W71" s="19" t="e">
        <f t="shared" si="37"/>
        <v>#DIV/0!</v>
      </c>
      <c r="X71" s="19" t="e">
        <f t="shared" si="38"/>
        <v>#DIV/0!</v>
      </c>
      <c r="Y71" s="19" t="e">
        <f t="shared" si="39"/>
        <v>#DIV/0!</v>
      </c>
      <c r="Z71" s="20" t="e">
        <f>(T71+U71+(PV(#REF!,'3.4 - Open'!K71,'3.4 - Open'!P71)*-1)+'3.4 - Open'!O71)/'3.4 - Open'!E71</f>
        <v>#REF!</v>
      </c>
      <c r="AA71" s="20" t="e">
        <f t="shared" si="49"/>
        <v>#DIV/0!</v>
      </c>
      <c r="AB71" s="21">
        <f t="shared" si="40"/>
        <v>0</v>
      </c>
      <c r="AC71" s="20">
        <f t="shared" si="41"/>
        <v>0</v>
      </c>
      <c r="AD71" s="20">
        <f t="shared" si="42"/>
        <v>0</v>
      </c>
      <c r="AE71" s="20">
        <f t="shared" si="43"/>
        <v>0</v>
      </c>
      <c r="AF71" s="19" t="e">
        <f t="shared" si="44"/>
        <v>#DIV/0!</v>
      </c>
      <c r="AG71" s="19" t="e">
        <f t="shared" si="45"/>
        <v>#DIV/0!</v>
      </c>
      <c r="AH71" s="19" t="e">
        <f t="shared" si="46"/>
        <v>#DIV/0!</v>
      </c>
      <c r="AI71" s="19" t="e">
        <f t="shared" si="47"/>
        <v>#DIV/0!</v>
      </c>
      <c r="AJ71" s="15">
        <f t="shared" si="50"/>
        <v>0</v>
      </c>
      <c r="AK71" s="19" t="e">
        <f t="shared" si="51"/>
        <v>#DIV/0!</v>
      </c>
      <c r="AL71" s="19" t="e">
        <f t="shared" si="52"/>
        <v>#DIV/0!</v>
      </c>
      <c r="AM71" s="19">
        <f t="shared" si="48"/>
        <v>0</v>
      </c>
      <c r="AN71" s="19" t="e">
        <f t="shared" si="53"/>
        <v>#DIV/0!</v>
      </c>
      <c r="AO71" s="19" t="e">
        <f t="shared" si="54"/>
        <v>#DIV/0!</v>
      </c>
      <c r="AP71" s="18" t="e">
        <f>-PV(#REF!,'3.4 - Open'!K71,'3.4 - Open'!P71)*'3.4 - Open'!B71</f>
        <v>#REF!</v>
      </c>
      <c r="AQ71" s="19" t="e">
        <f t="shared" si="55"/>
        <v>#REF!</v>
      </c>
      <c r="AR71" s="19" t="e">
        <f t="shared" si="56"/>
        <v>#REF!</v>
      </c>
      <c r="AS71" s="18" t="e">
        <f>B71*G71*K71*#REF!</f>
        <v>#REF!</v>
      </c>
      <c r="AT71" s="19" t="e">
        <f>B71*I71*K71*#REF!</f>
        <v>#REF!</v>
      </c>
      <c r="AU71" s="24"/>
      <c r="AV71" s="24"/>
      <c r="AW71" s="24"/>
      <c r="AX71" s="24"/>
      <c r="AY71" s="24"/>
    </row>
    <row r="72" spans="1:51" x14ac:dyDescent="0.25">
      <c r="A72" s="14"/>
      <c r="B72" s="14"/>
      <c r="C72" s="14"/>
      <c r="D72" s="14" t="s">
        <v>24</v>
      </c>
      <c r="E72" s="15"/>
      <c r="F72" s="15"/>
      <c r="G72" s="14"/>
      <c r="H72" s="14"/>
      <c r="I72" s="14"/>
      <c r="J72" s="14"/>
      <c r="K72" s="14"/>
      <c r="L72" s="14"/>
      <c r="M72" s="15"/>
      <c r="N72" s="15"/>
      <c r="O72" s="15"/>
      <c r="P72" s="15"/>
      <c r="Q72" s="15"/>
      <c r="R72" s="15"/>
      <c r="S72" s="15"/>
      <c r="T72" s="18">
        <f>IF(C72="Res Space Heat",VLOOKUP(K72,#REF!,4)*G72,IF(C72="Res AC",VLOOKUP(K72,#REF!,6)*G72,IF(C72="Res Lighting",VLOOKUP(K72,#REF!,8)*G72,IF(C72="Res Refrigeration",VLOOKUP(K72,#REF!,10)*G72,IF(C72="Res Water Heating",VLOOKUP(K72,#REF!,12)*G72,IF(C72="Res Dishwasher",VLOOKUP(K72,#REF!,14)*G72,IF(C72="Res Washer Dryer",VLOOKUP(K72,#REF!,16)*G72,IF(C72="Res Misc",VLOOKUP(K72,#REF!,18)*G72,IF(C72="Res Furnace Fan",VLOOKUP(K72,#REF!,20)*G72,IF(C72="NonRes Compressed Air",VLOOKUP(K72,#REF!,22)*G72,IF(C72="NonRes Cooking",VLOOKUP(K72,#REF!,24)*G72,IF(C72="NonRes Space Cooling",VLOOKUP(K72,#REF!,26)*G72,IF(C72="NonRes Exterior Lighting",VLOOKUP(K72,#REF!,28)*G72,IF(C72="NonRes Space Heating",VLOOKUP(K72,#REF!,30)*G72,IF(C72="NonRes Water Heating",VLOOKUP(K72,#REF!,32)*G72,IF(C72="NonRes Interior Lighting",VLOOKUP(K72,#REF!,34)*G72,IF(C72="NonRes Misc",VLOOKUP(K72,#REF!,36)*G72,IF(C72="NonRes Motors",VLOOKUP(K72,#REF!,38)*G72,IF(C72="NonRes Office Equipment",VLOOKUP(K72,#REF!,40)*G72,IF(C72="NonRes Process",VLOOKUP(K72,#REF!,42)*G72,IF(C72="NonRes Refrigeration",VLOOKUP(K72,#REF!,44)*G72,IF(C72="NonRes Ventilation",VLOOKUP(K72,#REF!,46)*G72,0))))))))))))))))))))))</f>
        <v>0</v>
      </c>
      <c r="U72" s="18">
        <f>IF(D72="Annual",VLOOKUP(K72,#REF!,4)*'3.4 - Open'!I72,IF(D72="Winter",VLOOKUP('3.4 - Open'!K72,#REF!,5)*'3.4 - Open'!I72,IF(D72="NA",0,0)))</f>
        <v>0</v>
      </c>
      <c r="V72" s="19" t="e">
        <f t="shared" si="36"/>
        <v>#DIV/0!</v>
      </c>
      <c r="W72" s="19" t="e">
        <f t="shared" si="37"/>
        <v>#DIV/0!</v>
      </c>
      <c r="X72" s="19" t="e">
        <f t="shared" si="38"/>
        <v>#DIV/0!</v>
      </c>
      <c r="Y72" s="19" t="e">
        <f t="shared" si="39"/>
        <v>#DIV/0!</v>
      </c>
      <c r="Z72" s="20" t="e">
        <f>(T72+U72+(PV(#REF!,'3.4 - Open'!K72,'3.4 - Open'!P72)*-1)+'3.4 - Open'!O72)/'3.4 - Open'!E72</f>
        <v>#REF!</v>
      </c>
      <c r="AA72" s="20" t="e">
        <f t="shared" si="49"/>
        <v>#DIV/0!</v>
      </c>
      <c r="AB72" s="21">
        <f t="shared" si="40"/>
        <v>0</v>
      </c>
      <c r="AC72" s="20">
        <f t="shared" si="41"/>
        <v>0</v>
      </c>
      <c r="AD72" s="20">
        <f t="shared" si="42"/>
        <v>0</v>
      </c>
      <c r="AE72" s="20">
        <f t="shared" si="43"/>
        <v>0</v>
      </c>
      <c r="AF72" s="19" t="e">
        <f t="shared" si="44"/>
        <v>#DIV/0!</v>
      </c>
      <c r="AG72" s="19" t="e">
        <f t="shared" si="45"/>
        <v>#DIV/0!</v>
      </c>
      <c r="AH72" s="19" t="e">
        <f t="shared" si="46"/>
        <v>#DIV/0!</v>
      </c>
      <c r="AI72" s="19" t="e">
        <f t="shared" si="47"/>
        <v>#DIV/0!</v>
      </c>
      <c r="AJ72" s="15">
        <f t="shared" si="50"/>
        <v>0</v>
      </c>
      <c r="AK72" s="19" t="e">
        <f t="shared" si="51"/>
        <v>#DIV/0!</v>
      </c>
      <c r="AL72" s="19" t="e">
        <f t="shared" si="52"/>
        <v>#DIV/0!</v>
      </c>
      <c r="AM72" s="19">
        <f t="shared" si="48"/>
        <v>0</v>
      </c>
      <c r="AN72" s="19" t="e">
        <f t="shared" si="53"/>
        <v>#DIV/0!</v>
      </c>
      <c r="AO72" s="19" t="e">
        <f t="shared" si="54"/>
        <v>#DIV/0!</v>
      </c>
      <c r="AP72" s="18" t="e">
        <f>-PV(#REF!,'3.4 - Open'!K72,'3.4 - Open'!P72)*'3.4 - Open'!B72</f>
        <v>#REF!</v>
      </c>
      <c r="AQ72" s="19" t="e">
        <f t="shared" si="55"/>
        <v>#REF!</v>
      </c>
      <c r="AR72" s="19" t="e">
        <f t="shared" si="56"/>
        <v>#REF!</v>
      </c>
      <c r="AS72" s="18" t="e">
        <f>B72*G72*K72*#REF!</f>
        <v>#REF!</v>
      </c>
      <c r="AT72" s="19" t="e">
        <f>B72*I72*K72*#REF!</f>
        <v>#REF!</v>
      </c>
      <c r="AU72" s="24"/>
      <c r="AV72" s="24"/>
      <c r="AW72" s="24"/>
      <c r="AX72" s="24"/>
      <c r="AY72" s="24"/>
    </row>
    <row r="73" spans="1:51" x14ac:dyDescent="0.25">
      <c r="A73" s="14"/>
      <c r="B73" s="14"/>
      <c r="C73" s="14"/>
      <c r="D73" s="14" t="s">
        <v>24</v>
      </c>
      <c r="E73" s="15"/>
      <c r="F73" s="15"/>
      <c r="G73" s="14"/>
      <c r="H73" s="14"/>
      <c r="I73" s="14"/>
      <c r="J73" s="14"/>
      <c r="K73" s="14"/>
      <c r="L73" s="14"/>
      <c r="M73" s="15"/>
      <c r="N73" s="15"/>
      <c r="O73" s="15"/>
      <c r="P73" s="15"/>
      <c r="Q73" s="15"/>
      <c r="R73" s="15"/>
      <c r="S73" s="15"/>
      <c r="T73" s="18">
        <f>IF(C73="Res Space Heat",VLOOKUP(K73,#REF!,4)*G73,IF(C73="Res AC",VLOOKUP(K73,#REF!,6)*G73,IF(C73="Res Lighting",VLOOKUP(K73,#REF!,8)*G73,IF(C73="Res Refrigeration",VLOOKUP(K73,#REF!,10)*G73,IF(C73="Res Water Heating",VLOOKUP(K73,#REF!,12)*G73,IF(C73="Res Dishwasher",VLOOKUP(K73,#REF!,14)*G73,IF(C73="Res Washer Dryer",VLOOKUP(K73,#REF!,16)*G73,IF(C73="Res Misc",VLOOKUP(K73,#REF!,18)*G73,IF(C73="Res Furnace Fan",VLOOKUP(K73,#REF!,20)*G73,IF(C73="NonRes Compressed Air",VLOOKUP(K73,#REF!,22)*G73,IF(C73="NonRes Cooking",VLOOKUP(K73,#REF!,24)*G73,IF(C73="NonRes Space Cooling",VLOOKUP(K73,#REF!,26)*G73,IF(C73="NonRes Exterior Lighting",VLOOKUP(K73,#REF!,28)*G73,IF(C73="NonRes Space Heating",VLOOKUP(K73,#REF!,30)*G73,IF(C73="NonRes Water Heating",VLOOKUP(K73,#REF!,32)*G73,IF(C73="NonRes Interior Lighting",VLOOKUP(K73,#REF!,34)*G73,IF(C73="NonRes Misc",VLOOKUP(K73,#REF!,36)*G73,IF(C73="NonRes Motors",VLOOKUP(K73,#REF!,38)*G73,IF(C73="NonRes Office Equipment",VLOOKUP(K73,#REF!,40)*G73,IF(C73="NonRes Process",VLOOKUP(K73,#REF!,42)*G73,IF(C73="NonRes Refrigeration",VLOOKUP(K73,#REF!,44)*G73,IF(C73="NonRes Ventilation",VLOOKUP(K73,#REF!,46)*G73,0))))))))))))))))))))))</f>
        <v>0</v>
      </c>
      <c r="U73" s="18">
        <f>IF(D73="Annual",VLOOKUP(K73,#REF!,4)*'3.4 - Open'!I73,IF(D73="Winter",VLOOKUP('3.4 - Open'!K73,#REF!,5)*'3.4 - Open'!I73,IF(D73="NA",0,0)))</f>
        <v>0</v>
      </c>
      <c r="V73" s="19" t="e">
        <f t="shared" si="36"/>
        <v>#DIV/0!</v>
      </c>
      <c r="W73" s="19" t="e">
        <f t="shared" si="37"/>
        <v>#DIV/0!</v>
      </c>
      <c r="X73" s="19" t="e">
        <f t="shared" si="38"/>
        <v>#DIV/0!</v>
      </c>
      <c r="Y73" s="19" t="e">
        <f t="shared" si="39"/>
        <v>#DIV/0!</v>
      </c>
      <c r="Z73" s="20" t="e">
        <f>(T73+U73+(PV(#REF!,'3.4 - Open'!K73,'3.4 - Open'!P73)*-1)+'3.4 - Open'!O73)/'3.4 - Open'!E73</f>
        <v>#REF!</v>
      </c>
      <c r="AA73" s="20" t="e">
        <f t="shared" si="49"/>
        <v>#DIV/0!</v>
      </c>
      <c r="AB73" s="21">
        <f t="shared" si="40"/>
        <v>0</v>
      </c>
      <c r="AC73" s="20">
        <f t="shared" si="41"/>
        <v>0</v>
      </c>
      <c r="AD73" s="20">
        <f t="shared" si="42"/>
        <v>0</v>
      </c>
      <c r="AE73" s="20">
        <f t="shared" si="43"/>
        <v>0</v>
      </c>
      <c r="AF73" s="19" t="e">
        <f t="shared" si="44"/>
        <v>#DIV/0!</v>
      </c>
      <c r="AG73" s="19" t="e">
        <f t="shared" si="45"/>
        <v>#DIV/0!</v>
      </c>
      <c r="AH73" s="19" t="e">
        <f t="shared" si="46"/>
        <v>#DIV/0!</v>
      </c>
      <c r="AI73" s="19" t="e">
        <f t="shared" si="47"/>
        <v>#DIV/0!</v>
      </c>
      <c r="AJ73" s="15">
        <f t="shared" si="50"/>
        <v>0</v>
      </c>
      <c r="AK73" s="19" t="e">
        <f t="shared" si="51"/>
        <v>#DIV/0!</v>
      </c>
      <c r="AL73" s="19" t="e">
        <f t="shared" si="52"/>
        <v>#DIV/0!</v>
      </c>
      <c r="AM73" s="19">
        <f t="shared" si="48"/>
        <v>0</v>
      </c>
      <c r="AN73" s="19" t="e">
        <f t="shared" si="53"/>
        <v>#DIV/0!</v>
      </c>
      <c r="AO73" s="19" t="e">
        <f t="shared" si="54"/>
        <v>#DIV/0!</v>
      </c>
      <c r="AP73" s="18" t="e">
        <f>-PV(#REF!,'3.4 - Open'!K73,'3.4 - Open'!P73)*'3.4 - Open'!B73</f>
        <v>#REF!</v>
      </c>
      <c r="AQ73" s="19" t="e">
        <f t="shared" si="55"/>
        <v>#REF!</v>
      </c>
      <c r="AR73" s="19" t="e">
        <f t="shared" si="56"/>
        <v>#REF!</v>
      </c>
      <c r="AS73" s="18" t="e">
        <f>B73*G73*K73*#REF!</f>
        <v>#REF!</v>
      </c>
      <c r="AT73" s="19" t="e">
        <f>B73*I73*K73*#REF!</f>
        <v>#REF!</v>
      </c>
      <c r="AU73" s="24"/>
      <c r="AV73" s="24"/>
      <c r="AW73" s="24"/>
      <c r="AX73" s="24"/>
      <c r="AY73" s="24"/>
    </row>
    <row r="74" spans="1:51" x14ac:dyDescent="0.25">
      <c r="A74" s="14"/>
      <c r="B74" s="14"/>
      <c r="C74" s="14"/>
      <c r="D74" s="14" t="s">
        <v>24</v>
      </c>
      <c r="E74" s="15"/>
      <c r="F74" s="15"/>
      <c r="G74" s="14"/>
      <c r="H74" s="14"/>
      <c r="I74" s="14"/>
      <c r="J74" s="14"/>
      <c r="K74" s="14"/>
      <c r="L74" s="14"/>
      <c r="M74" s="15"/>
      <c r="N74" s="15"/>
      <c r="O74" s="15"/>
      <c r="P74" s="15"/>
      <c r="Q74" s="15"/>
      <c r="R74" s="15"/>
      <c r="S74" s="15"/>
      <c r="T74" s="18">
        <f>IF(C74="Res Space Heat",VLOOKUP(K74,#REF!,4)*G74,IF(C74="Res AC",VLOOKUP(K74,#REF!,6)*G74,IF(C74="Res Lighting",VLOOKUP(K74,#REF!,8)*G74,IF(C74="Res Refrigeration",VLOOKUP(K74,#REF!,10)*G74,IF(C74="Res Water Heating",VLOOKUP(K74,#REF!,12)*G74,IF(C74="Res Dishwasher",VLOOKUP(K74,#REF!,14)*G74,IF(C74="Res Washer Dryer",VLOOKUP(K74,#REF!,16)*G74,IF(C74="Res Misc",VLOOKUP(K74,#REF!,18)*G74,IF(C74="Res Furnace Fan",VLOOKUP(K74,#REF!,20)*G74,IF(C74="NonRes Compressed Air",VLOOKUP(K74,#REF!,22)*G74,IF(C74="NonRes Cooking",VLOOKUP(K74,#REF!,24)*G74,IF(C74="NonRes Space Cooling",VLOOKUP(K74,#REF!,26)*G74,IF(C74="NonRes Exterior Lighting",VLOOKUP(K74,#REF!,28)*G74,IF(C74="NonRes Space Heating",VLOOKUP(K74,#REF!,30)*G74,IF(C74="NonRes Water Heating",VLOOKUP(K74,#REF!,32)*G74,IF(C74="NonRes Interior Lighting",VLOOKUP(K74,#REF!,34)*G74,IF(C74="NonRes Misc",VLOOKUP(K74,#REF!,36)*G74,IF(C74="NonRes Motors",VLOOKUP(K74,#REF!,38)*G74,IF(C74="NonRes Office Equipment",VLOOKUP(K74,#REF!,40)*G74,IF(C74="NonRes Process",VLOOKUP(K74,#REF!,42)*G74,IF(C74="NonRes Refrigeration",VLOOKUP(K74,#REF!,44)*G74,IF(C74="NonRes Ventilation",VLOOKUP(K74,#REF!,46)*G74,0))))))))))))))))))))))</f>
        <v>0</v>
      </c>
      <c r="U74" s="18">
        <f>IF(D74="Annual",VLOOKUP(K74,#REF!,4)*'3.4 - Open'!I74,IF(D74="Winter",VLOOKUP('3.4 - Open'!K74,#REF!,5)*'3.4 - Open'!I74,IF(D74="NA",0,0)))</f>
        <v>0</v>
      </c>
      <c r="V74" s="19" t="e">
        <f t="shared" si="36"/>
        <v>#DIV/0!</v>
      </c>
      <c r="W74" s="19" t="e">
        <f t="shared" si="37"/>
        <v>#DIV/0!</v>
      </c>
      <c r="X74" s="19" t="e">
        <f t="shared" si="38"/>
        <v>#DIV/0!</v>
      </c>
      <c r="Y74" s="19" t="e">
        <f t="shared" si="39"/>
        <v>#DIV/0!</v>
      </c>
      <c r="Z74" s="20" t="e">
        <f>(T74+U74+(PV(#REF!,'3.4 - Open'!K74,'3.4 - Open'!P74)*-1)+'3.4 - Open'!O74)/'3.4 - Open'!E74</f>
        <v>#REF!</v>
      </c>
      <c r="AA74" s="20" t="e">
        <f t="shared" si="49"/>
        <v>#DIV/0!</v>
      </c>
      <c r="AB74" s="21">
        <f t="shared" si="40"/>
        <v>0</v>
      </c>
      <c r="AC74" s="20">
        <f t="shared" si="41"/>
        <v>0</v>
      </c>
      <c r="AD74" s="20">
        <f t="shared" si="42"/>
        <v>0</v>
      </c>
      <c r="AE74" s="20">
        <f t="shared" si="43"/>
        <v>0</v>
      </c>
      <c r="AF74" s="19" t="e">
        <f t="shared" si="44"/>
        <v>#DIV/0!</v>
      </c>
      <c r="AG74" s="19" t="e">
        <f t="shared" si="45"/>
        <v>#DIV/0!</v>
      </c>
      <c r="AH74" s="19" t="e">
        <f t="shared" si="46"/>
        <v>#DIV/0!</v>
      </c>
      <c r="AI74" s="19" t="e">
        <f t="shared" si="47"/>
        <v>#DIV/0!</v>
      </c>
      <c r="AJ74" s="15">
        <f t="shared" si="50"/>
        <v>0</v>
      </c>
      <c r="AK74" s="19" t="e">
        <f t="shared" si="51"/>
        <v>#DIV/0!</v>
      </c>
      <c r="AL74" s="19" t="e">
        <f t="shared" si="52"/>
        <v>#DIV/0!</v>
      </c>
      <c r="AM74" s="19">
        <f t="shared" si="48"/>
        <v>0</v>
      </c>
      <c r="AN74" s="19" t="e">
        <f t="shared" si="53"/>
        <v>#DIV/0!</v>
      </c>
      <c r="AO74" s="19" t="e">
        <f t="shared" si="54"/>
        <v>#DIV/0!</v>
      </c>
      <c r="AP74" s="18" t="e">
        <f>-PV(#REF!,'3.4 - Open'!K74,'3.4 - Open'!P74)*'3.4 - Open'!B74</f>
        <v>#REF!</v>
      </c>
      <c r="AQ74" s="19" t="e">
        <f t="shared" si="55"/>
        <v>#REF!</v>
      </c>
      <c r="AR74" s="19" t="e">
        <f t="shared" si="56"/>
        <v>#REF!</v>
      </c>
      <c r="AS74" s="18" t="e">
        <f>B74*G74*K74*#REF!</f>
        <v>#REF!</v>
      </c>
      <c r="AT74" s="19" t="e">
        <f>B74*I74*K74*#REF!</f>
        <v>#REF!</v>
      </c>
      <c r="AU74" s="24"/>
      <c r="AV74" s="24"/>
      <c r="AW74" s="24"/>
      <c r="AX74" s="24"/>
      <c r="AY74" s="24"/>
    </row>
    <row r="75" spans="1:51" x14ac:dyDescent="0.25">
      <c r="A75" s="14"/>
      <c r="B75" s="14"/>
      <c r="C75" s="14"/>
      <c r="D75" s="14" t="s">
        <v>24</v>
      </c>
      <c r="E75" s="15"/>
      <c r="F75" s="15"/>
      <c r="G75" s="14"/>
      <c r="H75" s="14"/>
      <c r="I75" s="14"/>
      <c r="J75" s="14"/>
      <c r="K75" s="14"/>
      <c r="L75" s="14"/>
      <c r="M75" s="15"/>
      <c r="N75" s="15"/>
      <c r="O75" s="15"/>
      <c r="P75" s="15"/>
      <c r="Q75" s="15"/>
      <c r="R75" s="15"/>
      <c r="S75" s="15"/>
      <c r="T75" s="18">
        <f>IF(C75="Res Space Heat",VLOOKUP(K75,#REF!,4)*G75,IF(C75="Res AC",VLOOKUP(K75,#REF!,6)*G75,IF(C75="Res Lighting",VLOOKUP(K75,#REF!,8)*G75,IF(C75="Res Refrigeration",VLOOKUP(K75,#REF!,10)*G75,IF(C75="Res Water Heating",VLOOKUP(K75,#REF!,12)*G75,IF(C75="Res Dishwasher",VLOOKUP(K75,#REF!,14)*G75,IF(C75="Res Washer Dryer",VLOOKUP(K75,#REF!,16)*G75,IF(C75="Res Misc",VLOOKUP(K75,#REF!,18)*G75,IF(C75="Res Furnace Fan",VLOOKUP(K75,#REF!,20)*G75,IF(C75="NonRes Compressed Air",VLOOKUP(K75,#REF!,22)*G75,IF(C75="NonRes Cooking",VLOOKUP(K75,#REF!,24)*G75,IF(C75="NonRes Space Cooling",VLOOKUP(K75,#REF!,26)*G75,IF(C75="NonRes Exterior Lighting",VLOOKUP(K75,#REF!,28)*G75,IF(C75="NonRes Space Heating",VLOOKUP(K75,#REF!,30)*G75,IF(C75="NonRes Water Heating",VLOOKUP(K75,#REF!,32)*G75,IF(C75="NonRes Interior Lighting",VLOOKUP(K75,#REF!,34)*G75,IF(C75="NonRes Misc",VLOOKUP(K75,#REF!,36)*G75,IF(C75="NonRes Motors",VLOOKUP(K75,#REF!,38)*G75,IF(C75="NonRes Office Equipment",VLOOKUP(K75,#REF!,40)*G75,IF(C75="NonRes Process",VLOOKUP(K75,#REF!,42)*G75,IF(C75="NonRes Refrigeration",VLOOKUP(K75,#REF!,44)*G75,IF(C75="NonRes Ventilation",VLOOKUP(K75,#REF!,46)*G75,0))))))))))))))))))))))</f>
        <v>0</v>
      </c>
      <c r="U75" s="18">
        <f>IF(D75="Annual",VLOOKUP(K75,#REF!,4)*'3.4 - Open'!I75,IF(D75="Winter",VLOOKUP('3.4 - Open'!K75,#REF!,5)*'3.4 - Open'!I75,IF(D75="NA",0,0)))</f>
        <v>0</v>
      </c>
      <c r="V75" s="19" t="e">
        <f t="shared" si="36"/>
        <v>#DIV/0!</v>
      </c>
      <c r="W75" s="19" t="e">
        <f t="shared" si="37"/>
        <v>#DIV/0!</v>
      </c>
      <c r="X75" s="19" t="e">
        <f t="shared" si="38"/>
        <v>#DIV/0!</v>
      </c>
      <c r="Y75" s="19" t="e">
        <f t="shared" si="39"/>
        <v>#DIV/0!</v>
      </c>
      <c r="Z75" s="20" t="e">
        <f>(T75+U75+(PV(#REF!,'3.4 - Open'!K75,'3.4 - Open'!P75)*-1)+'3.4 - Open'!O75)/'3.4 - Open'!E75</f>
        <v>#REF!</v>
      </c>
      <c r="AA75" s="20" t="e">
        <f t="shared" si="49"/>
        <v>#DIV/0!</v>
      </c>
      <c r="AB75" s="21">
        <f t="shared" si="40"/>
        <v>0</v>
      </c>
      <c r="AC75" s="20">
        <f t="shared" si="41"/>
        <v>0</v>
      </c>
      <c r="AD75" s="20">
        <f t="shared" si="42"/>
        <v>0</v>
      </c>
      <c r="AE75" s="20">
        <f t="shared" si="43"/>
        <v>0</v>
      </c>
      <c r="AF75" s="19" t="e">
        <f t="shared" si="44"/>
        <v>#DIV/0!</v>
      </c>
      <c r="AG75" s="19" t="e">
        <f t="shared" si="45"/>
        <v>#DIV/0!</v>
      </c>
      <c r="AH75" s="19" t="e">
        <f t="shared" si="46"/>
        <v>#DIV/0!</v>
      </c>
      <c r="AI75" s="19" t="e">
        <f t="shared" si="47"/>
        <v>#DIV/0!</v>
      </c>
      <c r="AJ75" s="15">
        <f t="shared" si="50"/>
        <v>0</v>
      </c>
      <c r="AK75" s="19" t="e">
        <f t="shared" si="51"/>
        <v>#DIV/0!</v>
      </c>
      <c r="AL75" s="19" t="e">
        <f t="shared" si="52"/>
        <v>#DIV/0!</v>
      </c>
      <c r="AM75" s="19">
        <f t="shared" si="48"/>
        <v>0</v>
      </c>
      <c r="AN75" s="19" t="e">
        <f t="shared" si="53"/>
        <v>#DIV/0!</v>
      </c>
      <c r="AO75" s="19" t="e">
        <f t="shared" si="54"/>
        <v>#DIV/0!</v>
      </c>
      <c r="AP75" s="18" t="e">
        <f>-PV(#REF!,'3.4 - Open'!K75,'3.4 - Open'!P75)*'3.4 - Open'!B75</f>
        <v>#REF!</v>
      </c>
      <c r="AQ75" s="19" t="e">
        <f t="shared" si="55"/>
        <v>#REF!</v>
      </c>
      <c r="AR75" s="19" t="e">
        <f t="shared" si="56"/>
        <v>#REF!</v>
      </c>
      <c r="AS75" s="18" t="e">
        <f>B75*G75*K75*#REF!</f>
        <v>#REF!</v>
      </c>
      <c r="AT75" s="19" t="e">
        <f>B75*I75*K75*#REF!</f>
        <v>#REF!</v>
      </c>
      <c r="AU75" s="24"/>
      <c r="AV75" s="24"/>
      <c r="AW75" s="24"/>
      <c r="AX75" s="24"/>
      <c r="AY75" s="24"/>
    </row>
    <row r="76" spans="1:51" x14ac:dyDescent="0.25">
      <c r="A76" s="14"/>
      <c r="B76" s="14"/>
      <c r="C76" s="14"/>
      <c r="D76" s="14" t="s">
        <v>24</v>
      </c>
      <c r="E76" s="15"/>
      <c r="F76" s="15"/>
      <c r="G76" s="14"/>
      <c r="H76" s="14"/>
      <c r="I76" s="14"/>
      <c r="J76" s="14"/>
      <c r="K76" s="14"/>
      <c r="L76" s="14"/>
      <c r="M76" s="15"/>
      <c r="N76" s="15"/>
      <c r="O76" s="15"/>
      <c r="P76" s="15"/>
      <c r="Q76" s="15"/>
      <c r="R76" s="15"/>
      <c r="S76" s="15"/>
      <c r="T76" s="18">
        <f>IF(C76="Res Space Heat",VLOOKUP(K76,#REF!,4)*G76,IF(C76="Res AC",VLOOKUP(K76,#REF!,6)*G76,IF(C76="Res Lighting",VLOOKUP(K76,#REF!,8)*G76,IF(C76="Res Refrigeration",VLOOKUP(K76,#REF!,10)*G76,IF(C76="Res Water Heating",VLOOKUP(K76,#REF!,12)*G76,IF(C76="Res Dishwasher",VLOOKUP(K76,#REF!,14)*G76,IF(C76="Res Washer Dryer",VLOOKUP(K76,#REF!,16)*G76,IF(C76="Res Misc",VLOOKUP(K76,#REF!,18)*G76,IF(C76="Res Furnace Fan",VLOOKUP(K76,#REF!,20)*G76,IF(C76="NonRes Compressed Air",VLOOKUP(K76,#REF!,22)*G76,IF(C76="NonRes Cooking",VLOOKUP(K76,#REF!,24)*G76,IF(C76="NonRes Space Cooling",VLOOKUP(K76,#REF!,26)*G76,IF(C76="NonRes Exterior Lighting",VLOOKUP(K76,#REF!,28)*G76,IF(C76="NonRes Space Heating",VLOOKUP(K76,#REF!,30)*G76,IF(C76="NonRes Water Heating",VLOOKUP(K76,#REF!,32)*G76,IF(C76="NonRes Interior Lighting",VLOOKUP(K76,#REF!,34)*G76,IF(C76="NonRes Misc",VLOOKUP(K76,#REF!,36)*G76,IF(C76="NonRes Motors",VLOOKUP(K76,#REF!,38)*G76,IF(C76="NonRes Office Equipment",VLOOKUP(K76,#REF!,40)*G76,IF(C76="NonRes Process",VLOOKUP(K76,#REF!,42)*G76,IF(C76="NonRes Refrigeration",VLOOKUP(K76,#REF!,44)*G76,IF(C76="NonRes Ventilation",VLOOKUP(K76,#REF!,46)*G76,0))))))))))))))))))))))</f>
        <v>0</v>
      </c>
      <c r="U76" s="18">
        <f>IF(D76="Annual",VLOOKUP(K76,#REF!,4)*'3.4 - Open'!I76,IF(D76="Winter",VLOOKUP('3.4 - Open'!K76,#REF!,5)*'3.4 - Open'!I76,IF(D76="NA",0,0)))</f>
        <v>0</v>
      </c>
      <c r="V76" s="19" t="e">
        <f t="shared" si="36"/>
        <v>#DIV/0!</v>
      </c>
      <c r="W76" s="19" t="e">
        <f t="shared" si="37"/>
        <v>#DIV/0!</v>
      </c>
      <c r="X76" s="19" t="e">
        <f t="shared" si="38"/>
        <v>#DIV/0!</v>
      </c>
      <c r="Y76" s="19" t="e">
        <f t="shared" si="39"/>
        <v>#DIV/0!</v>
      </c>
      <c r="Z76" s="20" t="e">
        <f>(T76+U76+(PV(#REF!,'3.4 - Open'!K76,'3.4 - Open'!P76)*-1)+'3.4 - Open'!O76)/'3.4 - Open'!E76</f>
        <v>#REF!</v>
      </c>
      <c r="AA76" s="20" t="e">
        <f t="shared" si="49"/>
        <v>#DIV/0!</v>
      </c>
      <c r="AB76" s="21">
        <f t="shared" si="40"/>
        <v>0</v>
      </c>
      <c r="AC76" s="20">
        <f t="shared" si="41"/>
        <v>0</v>
      </c>
      <c r="AD76" s="20">
        <f t="shared" si="42"/>
        <v>0</v>
      </c>
      <c r="AE76" s="20">
        <f t="shared" si="43"/>
        <v>0</v>
      </c>
      <c r="AF76" s="19" t="e">
        <f t="shared" si="44"/>
        <v>#DIV/0!</v>
      </c>
      <c r="AG76" s="19" t="e">
        <f t="shared" si="45"/>
        <v>#DIV/0!</v>
      </c>
      <c r="AH76" s="19" t="e">
        <f t="shared" si="46"/>
        <v>#DIV/0!</v>
      </c>
      <c r="AI76" s="19" t="e">
        <f t="shared" si="47"/>
        <v>#DIV/0!</v>
      </c>
      <c r="AJ76" s="15">
        <f t="shared" si="50"/>
        <v>0</v>
      </c>
      <c r="AK76" s="19" t="e">
        <f t="shared" si="51"/>
        <v>#DIV/0!</v>
      </c>
      <c r="AL76" s="19" t="e">
        <f t="shared" si="52"/>
        <v>#DIV/0!</v>
      </c>
      <c r="AM76" s="19">
        <f t="shared" si="48"/>
        <v>0</v>
      </c>
      <c r="AN76" s="19" t="e">
        <f t="shared" si="53"/>
        <v>#DIV/0!</v>
      </c>
      <c r="AO76" s="19" t="e">
        <f t="shared" si="54"/>
        <v>#DIV/0!</v>
      </c>
      <c r="AP76" s="18" t="e">
        <f>-PV(#REF!,'3.4 - Open'!K76,'3.4 - Open'!P76)*'3.4 - Open'!B76</f>
        <v>#REF!</v>
      </c>
      <c r="AQ76" s="19" t="e">
        <f t="shared" si="55"/>
        <v>#REF!</v>
      </c>
      <c r="AR76" s="19" t="e">
        <f t="shared" si="56"/>
        <v>#REF!</v>
      </c>
      <c r="AS76" s="18" t="e">
        <f>B76*G76*K76*#REF!</f>
        <v>#REF!</v>
      </c>
      <c r="AT76" s="19" t="e">
        <f>B76*I76*K76*#REF!</f>
        <v>#REF!</v>
      </c>
      <c r="AU76" s="24"/>
      <c r="AV76" s="24"/>
      <c r="AW76" s="24"/>
      <c r="AX76" s="24"/>
      <c r="AY76" s="24"/>
    </row>
    <row r="77" spans="1:51" x14ac:dyDescent="0.25">
      <c r="A77" s="14"/>
      <c r="B77" s="14"/>
      <c r="C77" s="14"/>
      <c r="D77" s="14" t="s">
        <v>24</v>
      </c>
      <c r="E77" s="15"/>
      <c r="F77" s="15"/>
      <c r="G77" s="14"/>
      <c r="H77" s="14"/>
      <c r="I77" s="14"/>
      <c r="J77" s="14"/>
      <c r="K77" s="14"/>
      <c r="L77" s="14"/>
      <c r="M77" s="15"/>
      <c r="N77" s="15"/>
      <c r="O77" s="15"/>
      <c r="P77" s="15"/>
      <c r="Q77" s="15"/>
      <c r="R77" s="15"/>
      <c r="S77" s="15"/>
      <c r="T77" s="18">
        <f>IF(C77="Res Space Heat",VLOOKUP(K77,#REF!,4)*G77,IF(C77="Res AC",VLOOKUP(K77,#REF!,6)*G77,IF(C77="Res Lighting",VLOOKUP(K77,#REF!,8)*G77,IF(C77="Res Refrigeration",VLOOKUP(K77,#REF!,10)*G77,IF(C77="Res Water Heating",VLOOKUP(K77,#REF!,12)*G77,IF(C77="Res Dishwasher",VLOOKUP(K77,#REF!,14)*G77,IF(C77="Res Washer Dryer",VLOOKUP(K77,#REF!,16)*G77,IF(C77="Res Misc",VLOOKUP(K77,#REF!,18)*G77,IF(C77="Res Furnace Fan",VLOOKUP(K77,#REF!,20)*G77,IF(C77="NonRes Compressed Air",VLOOKUP(K77,#REF!,22)*G77,IF(C77="NonRes Cooking",VLOOKUP(K77,#REF!,24)*G77,IF(C77="NonRes Space Cooling",VLOOKUP(K77,#REF!,26)*G77,IF(C77="NonRes Exterior Lighting",VLOOKUP(K77,#REF!,28)*G77,IF(C77="NonRes Space Heating",VLOOKUP(K77,#REF!,30)*G77,IF(C77="NonRes Water Heating",VLOOKUP(K77,#REF!,32)*G77,IF(C77="NonRes Interior Lighting",VLOOKUP(K77,#REF!,34)*G77,IF(C77="NonRes Misc",VLOOKUP(K77,#REF!,36)*G77,IF(C77="NonRes Motors",VLOOKUP(K77,#REF!,38)*G77,IF(C77="NonRes Office Equipment",VLOOKUP(K77,#REF!,40)*G77,IF(C77="NonRes Process",VLOOKUP(K77,#REF!,42)*G77,IF(C77="NonRes Refrigeration",VLOOKUP(K77,#REF!,44)*G77,IF(C77="NonRes Ventilation",VLOOKUP(K77,#REF!,46)*G77,0))))))))))))))))))))))</f>
        <v>0</v>
      </c>
      <c r="U77" s="18">
        <f>IF(D77="Annual",VLOOKUP(K77,#REF!,4)*'3.4 - Open'!I77,IF(D77="Winter",VLOOKUP('3.4 - Open'!K77,#REF!,5)*'3.4 - Open'!I77,IF(D77="NA",0,0)))</f>
        <v>0</v>
      </c>
      <c r="V77" s="19" t="e">
        <f t="shared" si="36"/>
        <v>#DIV/0!</v>
      </c>
      <c r="W77" s="19" t="e">
        <f t="shared" si="37"/>
        <v>#DIV/0!</v>
      </c>
      <c r="X77" s="19" t="e">
        <f t="shared" si="38"/>
        <v>#DIV/0!</v>
      </c>
      <c r="Y77" s="19" t="e">
        <f t="shared" si="39"/>
        <v>#DIV/0!</v>
      </c>
      <c r="Z77" s="20" t="e">
        <f>(T77+U77+(PV(#REF!,'3.4 - Open'!K77,'3.4 - Open'!P77)*-1)+'3.4 - Open'!O77)/'3.4 - Open'!E77</f>
        <v>#REF!</v>
      </c>
      <c r="AA77" s="20" t="e">
        <f t="shared" si="49"/>
        <v>#DIV/0!</v>
      </c>
      <c r="AB77" s="21">
        <f t="shared" si="40"/>
        <v>0</v>
      </c>
      <c r="AC77" s="20">
        <f t="shared" si="41"/>
        <v>0</v>
      </c>
      <c r="AD77" s="20">
        <f t="shared" si="42"/>
        <v>0</v>
      </c>
      <c r="AE77" s="20">
        <f t="shared" si="43"/>
        <v>0</v>
      </c>
      <c r="AF77" s="19" t="e">
        <f t="shared" si="44"/>
        <v>#DIV/0!</v>
      </c>
      <c r="AG77" s="19" t="e">
        <f t="shared" si="45"/>
        <v>#DIV/0!</v>
      </c>
      <c r="AH77" s="19" t="e">
        <f t="shared" si="46"/>
        <v>#DIV/0!</v>
      </c>
      <c r="AI77" s="19" t="e">
        <f t="shared" si="47"/>
        <v>#DIV/0!</v>
      </c>
      <c r="AJ77" s="15">
        <f t="shared" si="50"/>
        <v>0</v>
      </c>
      <c r="AK77" s="19" t="e">
        <f t="shared" si="51"/>
        <v>#DIV/0!</v>
      </c>
      <c r="AL77" s="19" t="e">
        <f t="shared" si="52"/>
        <v>#DIV/0!</v>
      </c>
      <c r="AM77" s="19">
        <f t="shared" si="48"/>
        <v>0</v>
      </c>
      <c r="AN77" s="19" t="e">
        <f t="shared" si="53"/>
        <v>#DIV/0!</v>
      </c>
      <c r="AO77" s="19" t="e">
        <f t="shared" si="54"/>
        <v>#DIV/0!</v>
      </c>
      <c r="AP77" s="18" t="e">
        <f>-PV(#REF!,'3.4 - Open'!K77,'3.4 - Open'!P77)*'3.4 - Open'!B77</f>
        <v>#REF!</v>
      </c>
      <c r="AQ77" s="19" t="e">
        <f t="shared" si="55"/>
        <v>#REF!</v>
      </c>
      <c r="AR77" s="19" t="e">
        <f t="shared" si="56"/>
        <v>#REF!</v>
      </c>
      <c r="AS77" s="18" t="e">
        <f>B77*G77*K77*#REF!</f>
        <v>#REF!</v>
      </c>
      <c r="AT77" s="19" t="e">
        <f>B77*I77*K77*#REF!</f>
        <v>#REF!</v>
      </c>
      <c r="AU77" s="24"/>
      <c r="AV77" s="24"/>
      <c r="AW77" s="24"/>
      <c r="AX77" s="24"/>
      <c r="AY77" s="24"/>
    </row>
    <row r="78" spans="1:51" x14ac:dyDescent="0.25">
      <c r="A78" s="14"/>
      <c r="B78" s="14"/>
      <c r="C78" s="14"/>
      <c r="D78" s="14" t="s">
        <v>24</v>
      </c>
      <c r="E78" s="15"/>
      <c r="F78" s="15"/>
      <c r="G78" s="14"/>
      <c r="H78" s="14"/>
      <c r="I78" s="14"/>
      <c r="J78" s="14"/>
      <c r="K78" s="14"/>
      <c r="L78" s="14"/>
      <c r="M78" s="15"/>
      <c r="N78" s="15"/>
      <c r="O78" s="15"/>
      <c r="P78" s="15"/>
      <c r="Q78" s="15"/>
      <c r="R78" s="15"/>
      <c r="S78" s="15"/>
      <c r="T78" s="18">
        <f>IF(C78="Res Space Heat",VLOOKUP(K78,#REF!,4)*G78,IF(C78="Res AC",VLOOKUP(K78,#REF!,6)*G78,IF(C78="Res Lighting",VLOOKUP(K78,#REF!,8)*G78,IF(C78="Res Refrigeration",VLOOKUP(K78,#REF!,10)*G78,IF(C78="Res Water Heating",VLOOKUP(K78,#REF!,12)*G78,IF(C78="Res Dishwasher",VLOOKUP(K78,#REF!,14)*G78,IF(C78="Res Washer Dryer",VLOOKUP(K78,#REF!,16)*G78,IF(C78="Res Misc",VLOOKUP(K78,#REF!,18)*G78,IF(C78="Res Furnace Fan",VLOOKUP(K78,#REF!,20)*G78,IF(C78="NonRes Compressed Air",VLOOKUP(K78,#REF!,22)*G78,IF(C78="NonRes Cooking",VLOOKUP(K78,#REF!,24)*G78,IF(C78="NonRes Space Cooling",VLOOKUP(K78,#REF!,26)*G78,IF(C78="NonRes Exterior Lighting",VLOOKUP(K78,#REF!,28)*G78,IF(C78="NonRes Space Heating",VLOOKUP(K78,#REF!,30)*G78,IF(C78="NonRes Water Heating",VLOOKUP(K78,#REF!,32)*G78,IF(C78="NonRes Interior Lighting",VLOOKUP(K78,#REF!,34)*G78,IF(C78="NonRes Misc",VLOOKUP(K78,#REF!,36)*G78,IF(C78="NonRes Motors",VLOOKUP(K78,#REF!,38)*G78,IF(C78="NonRes Office Equipment",VLOOKUP(K78,#REF!,40)*G78,IF(C78="NonRes Process",VLOOKUP(K78,#REF!,42)*G78,IF(C78="NonRes Refrigeration",VLOOKUP(K78,#REF!,44)*G78,IF(C78="NonRes Ventilation",VLOOKUP(K78,#REF!,46)*G78,0))))))))))))))))))))))</f>
        <v>0</v>
      </c>
      <c r="U78" s="18">
        <f>IF(D78="Annual",VLOOKUP(K78,#REF!,4)*'3.4 - Open'!I78,IF(D78="Winter",VLOOKUP('3.4 - Open'!K78,#REF!,5)*'3.4 - Open'!I78,IF(D78="NA",0,0)))</f>
        <v>0</v>
      </c>
      <c r="V78" s="19" t="e">
        <f t="shared" si="36"/>
        <v>#DIV/0!</v>
      </c>
      <c r="W78" s="19" t="e">
        <f t="shared" si="37"/>
        <v>#DIV/0!</v>
      </c>
      <c r="X78" s="19" t="e">
        <f t="shared" si="38"/>
        <v>#DIV/0!</v>
      </c>
      <c r="Y78" s="19" t="e">
        <f t="shared" si="39"/>
        <v>#DIV/0!</v>
      </c>
      <c r="Z78" s="20" t="e">
        <f>(T78+U78+(PV(#REF!,'3.4 - Open'!K78,'3.4 - Open'!P78)*-1)+'3.4 - Open'!O78)/'3.4 - Open'!E78</f>
        <v>#REF!</v>
      </c>
      <c r="AA78" s="20" t="e">
        <f t="shared" si="49"/>
        <v>#DIV/0!</v>
      </c>
      <c r="AB78" s="21">
        <f t="shared" si="40"/>
        <v>0</v>
      </c>
      <c r="AC78" s="20">
        <f t="shared" si="41"/>
        <v>0</v>
      </c>
      <c r="AD78" s="20">
        <f t="shared" si="42"/>
        <v>0</v>
      </c>
      <c r="AE78" s="20">
        <f t="shared" si="43"/>
        <v>0</v>
      </c>
      <c r="AF78" s="19" t="e">
        <f t="shared" si="44"/>
        <v>#DIV/0!</v>
      </c>
      <c r="AG78" s="19" t="e">
        <f t="shared" si="45"/>
        <v>#DIV/0!</v>
      </c>
      <c r="AH78" s="19" t="e">
        <f t="shared" si="46"/>
        <v>#DIV/0!</v>
      </c>
      <c r="AI78" s="19" t="e">
        <f t="shared" si="47"/>
        <v>#DIV/0!</v>
      </c>
      <c r="AJ78" s="15">
        <f t="shared" si="50"/>
        <v>0</v>
      </c>
      <c r="AK78" s="19" t="e">
        <f t="shared" si="51"/>
        <v>#DIV/0!</v>
      </c>
      <c r="AL78" s="19" t="e">
        <f t="shared" si="52"/>
        <v>#DIV/0!</v>
      </c>
      <c r="AM78" s="19">
        <f t="shared" si="48"/>
        <v>0</v>
      </c>
      <c r="AN78" s="19" t="e">
        <f t="shared" si="53"/>
        <v>#DIV/0!</v>
      </c>
      <c r="AO78" s="19" t="e">
        <f t="shared" si="54"/>
        <v>#DIV/0!</v>
      </c>
      <c r="AP78" s="18" t="e">
        <f>-PV(#REF!,'3.4 - Open'!K78,'3.4 - Open'!P78)*'3.4 - Open'!B78</f>
        <v>#REF!</v>
      </c>
      <c r="AQ78" s="19" t="e">
        <f t="shared" si="55"/>
        <v>#REF!</v>
      </c>
      <c r="AR78" s="19" t="e">
        <f t="shared" si="56"/>
        <v>#REF!</v>
      </c>
      <c r="AS78" s="18" t="e">
        <f>B78*G78*K78*#REF!</f>
        <v>#REF!</v>
      </c>
      <c r="AT78" s="19" t="e">
        <f>B78*I78*K78*#REF!</f>
        <v>#REF!</v>
      </c>
      <c r="AU78" s="24"/>
      <c r="AV78" s="24"/>
      <c r="AW78" s="24"/>
      <c r="AX78" s="24"/>
      <c r="AY78" s="24"/>
    </row>
    <row r="79" spans="1:51" x14ac:dyDescent="0.25">
      <c r="A79" s="14"/>
      <c r="B79" s="14"/>
      <c r="C79" s="14"/>
      <c r="D79" s="14" t="s">
        <v>24</v>
      </c>
      <c r="E79" s="15"/>
      <c r="F79" s="15"/>
      <c r="G79" s="14"/>
      <c r="H79" s="14"/>
      <c r="I79" s="14"/>
      <c r="J79" s="14"/>
      <c r="K79" s="14"/>
      <c r="L79" s="14"/>
      <c r="M79" s="15"/>
      <c r="N79" s="15"/>
      <c r="O79" s="15"/>
      <c r="P79" s="15"/>
      <c r="Q79" s="15"/>
      <c r="R79" s="15"/>
      <c r="S79" s="15"/>
      <c r="T79" s="18">
        <f>IF(C79="Res Space Heat",VLOOKUP(K79,#REF!,4)*G79,IF(C79="Res AC",VLOOKUP(K79,#REF!,6)*G79,IF(C79="Res Lighting",VLOOKUP(K79,#REF!,8)*G79,IF(C79="Res Refrigeration",VLOOKUP(K79,#REF!,10)*G79,IF(C79="Res Water Heating",VLOOKUP(K79,#REF!,12)*G79,IF(C79="Res Dishwasher",VLOOKUP(K79,#REF!,14)*G79,IF(C79="Res Washer Dryer",VLOOKUP(K79,#REF!,16)*G79,IF(C79="Res Misc",VLOOKUP(K79,#REF!,18)*G79,IF(C79="Res Furnace Fan",VLOOKUP(K79,#REF!,20)*G79,IF(C79="NonRes Compressed Air",VLOOKUP(K79,#REF!,22)*G79,IF(C79="NonRes Cooking",VLOOKUP(K79,#REF!,24)*G79,IF(C79="NonRes Space Cooling",VLOOKUP(K79,#REF!,26)*G79,IF(C79="NonRes Exterior Lighting",VLOOKUP(K79,#REF!,28)*G79,IF(C79="NonRes Space Heating",VLOOKUP(K79,#REF!,30)*G79,IF(C79="NonRes Water Heating",VLOOKUP(K79,#REF!,32)*G79,IF(C79="NonRes Interior Lighting",VLOOKUP(K79,#REF!,34)*G79,IF(C79="NonRes Misc",VLOOKUP(K79,#REF!,36)*G79,IF(C79="NonRes Motors",VLOOKUP(K79,#REF!,38)*G79,IF(C79="NonRes Office Equipment",VLOOKUP(K79,#REF!,40)*G79,IF(C79="NonRes Process",VLOOKUP(K79,#REF!,42)*G79,IF(C79="NonRes Refrigeration",VLOOKUP(K79,#REF!,44)*G79,IF(C79="NonRes Ventilation",VLOOKUP(K79,#REF!,46)*G79,0))))))))))))))))))))))</f>
        <v>0</v>
      </c>
      <c r="U79" s="18">
        <f>IF(D79="Annual",VLOOKUP(K79,#REF!,4)*'3.4 - Open'!I79,IF(D79="Winter",VLOOKUP('3.4 - Open'!K79,#REF!,5)*'3.4 - Open'!I79,IF(D79="NA",0,0)))</f>
        <v>0</v>
      </c>
      <c r="V79" s="19" t="e">
        <f t="shared" si="36"/>
        <v>#DIV/0!</v>
      </c>
      <c r="W79" s="19" t="e">
        <f t="shared" si="37"/>
        <v>#DIV/0!</v>
      </c>
      <c r="X79" s="19" t="e">
        <f t="shared" si="38"/>
        <v>#DIV/0!</v>
      </c>
      <c r="Y79" s="19" t="e">
        <f t="shared" si="39"/>
        <v>#DIV/0!</v>
      </c>
      <c r="Z79" s="20" t="e">
        <f>(T79+U79+(PV(#REF!,'3.4 - Open'!K79,'3.4 - Open'!P79)*-1)+'3.4 - Open'!O79)/'3.4 - Open'!E79</f>
        <v>#REF!</v>
      </c>
      <c r="AA79" s="20" t="e">
        <f t="shared" si="49"/>
        <v>#DIV/0!</v>
      </c>
      <c r="AB79" s="21">
        <f t="shared" si="40"/>
        <v>0</v>
      </c>
      <c r="AC79" s="20">
        <f t="shared" si="41"/>
        <v>0</v>
      </c>
      <c r="AD79" s="20">
        <f t="shared" si="42"/>
        <v>0</v>
      </c>
      <c r="AE79" s="20">
        <f t="shared" si="43"/>
        <v>0</v>
      </c>
      <c r="AF79" s="19" t="e">
        <f t="shared" si="44"/>
        <v>#DIV/0!</v>
      </c>
      <c r="AG79" s="19" t="e">
        <f t="shared" si="45"/>
        <v>#DIV/0!</v>
      </c>
      <c r="AH79" s="19" t="e">
        <f t="shared" si="46"/>
        <v>#DIV/0!</v>
      </c>
      <c r="AI79" s="19" t="e">
        <f t="shared" si="47"/>
        <v>#DIV/0!</v>
      </c>
      <c r="AJ79" s="15">
        <f t="shared" si="50"/>
        <v>0</v>
      </c>
      <c r="AK79" s="19" t="e">
        <f t="shared" si="51"/>
        <v>#DIV/0!</v>
      </c>
      <c r="AL79" s="19" t="e">
        <f t="shared" si="52"/>
        <v>#DIV/0!</v>
      </c>
      <c r="AM79" s="19">
        <f t="shared" si="48"/>
        <v>0</v>
      </c>
      <c r="AN79" s="19" t="e">
        <f t="shared" si="53"/>
        <v>#DIV/0!</v>
      </c>
      <c r="AO79" s="19" t="e">
        <f t="shared" si="54"/>
        <v>#DIV/0!</v>
      </c>
      <c r="AP79" s="18" t="e">
        <f>-PV(#REF!,'3.4 - Open'!K79,'3.4 - Open'!P79)*'3.4 - Open'!B79</f>
        <v>#REF!</v>
      </c>
      <c r="AQ79" s="19" t="e">
        <f t="shared" si="55"/>
        <v>#REF!</v>
      </c>
      <c r="AR79" s="19" t="e">
        <f t="shared" si="56"/>
        <v>#REF!</v>
      </c>
      <c r="AS79" s="18" t="e">
        <f>B79*G79*K79*#REF!</f>
        <v>#REF!</v>
      </c>
      <c r="AT79" s="19" t="e">
        <f>B79*I79*K79*#REF!</f>
        <v>#REF!</v>
      </c>
      <c r="AU79" s="24"/>
      <c r="AV79" s="24"/>
      <c r="AW79" s="24"/>
      <c r="AX79" s="24"/>
      <c r="AY79" s="24"/>
    </row>
    <row r="80" spans="1:51" x14ac:dyDescent="0.25">
      <c r="A80" s="14"/>
      <c r="B80" s="14"/>
      <c r="C80" s="14"/>
      <c r="D80" s="14" t="s">
        <v>24</v>
      </c>
      <c r="E80" s="15"/>
      <c r="F80" s="15"/>
      <c r="G80" s="14"/>
      <c r="H80" s="14"/>
      <c r="I80" s="14"/>
      <c r="J80" s="14"/>
      <c r="K80" s="14"/>
      <c r="L80" s="14"/>
      <c r="M80" s="15"/>
      <c r="N80" s="15"/>
      <c r="O80" s="15"/>
      <c r="P80" s="15"/>
      <c r="Q80" s="15"/>
      <c r="R80" s="15"/>
      <c r="S80" s="15"/>
      <c r="T80" s="18">
        <f>IF(C80="Res Space Heat",VLOOKUP(K80,#REF!,4)*G80,IF(C80="Res AC",VLOOKUP(K80,#REF!,6)*G80,IF(C80="Res Lighting",VLOOKUP(K80,#REF!,8)*G80,IF(C80="Res Refrigeration",VLOOKUP(K80,#REF!,10)*G80,IF(C80="Res Water Heating",VLOOKUP(K80,#REF!,12)*G80,IF(C80="Res Dishwasher",VLOOKUP(K80,#REF!,14)*G80,IF(C80="Res Washer Dryer",VLOOKUP(K80,#REF!,16)*G80,IF(C80="Res Misc",VLOOKUP(K80,#REF!,18)*G80,IF(C80="Res Furnace Fan",VLOOKUP(K80,#REF!,20)*G80,IF(C80="NonRes Compressed Air",VLOOKUP(K80,#REF!,22)*G80,IF(C80="NonRes Cooking",VLOOKUP(K80,#REF!,24)*G80,IF(C80="NonRes Space Cooling",VLOOKUP(K80,#REF!,26)*G80,IF(C80="NonRes Exterior Lighting",VLOOKUP(K80,#REF!,28)*G80,IF(C80="NonRes Space Heating",VLOOKUP(K80,#REF!,30)*G80,IF(C80="NonRes Water Heating",VLOOKUP(K80,#REF!,32)*G80,IF(C80="NonRes Interior Lighting",VLOOKUP(K80,#REF!,34)*G80,IF(C80="NonRes Misc",VLOOKUP(K80,#REF!,36)*G80,IF(C80="NonRes Motors",VLOOKUP(K80,#REF!,38)*G80,IF(C80="NonRes Office Equipment",VLOOKUP(K80,#REF!,40)*G80,IF(C80="NonRes Process",VLOOKUP(K80,#REF!,42)*G80,IF(C80="NonRes Refrigeration",VLOOKUP(K80,#REF!,44)*G80,IF(C80="NonRes Ventilation",VLOOKUP(K80,#REF!,46)*G80,0))))))))))))))))))))))</f>
        <v>0</v>
      </c>
      <c r="U80" s="18">
        <f>IF(D80="Annual",VLOOKUP(K80,#REF!,4)*'3.4 - Open'!I80,IF(D80="Winter",VLOOKUP('3.4 - Open'!K80,#REF!,5)*'3.4 - Open'!I80,IF(D80="NA",0,0)))</f>
        <v>0</v>
      </c>
      <c r="V80" s="19" t="e">
        <f t="shared" si="36"/>
        <v>#DIV/0!</v>
      </c>
      <c r="W80" s="19" t="e">
        <f t="shared" si="37"/>
        <v>#DIV/0!</v>
      </c>
      <c r="X80" s="19" t="e">
        <f t="shared" si="38"/>
        <v>#DIV/0!</v>
      </c>
      <c r="Y80" s="19" t="e">
        <f t="shared" si="39"/>
        <v>#DIV/0!</v>
      </c>
      <c r="Z80" s="20" t="e">
        <f>(T80+U80+(PV(#REF!,'3.4 - Open'!K80,'3.4 - Open'!P80)*-1)+'3.4 - Open'!O80)/'3.4 - Open'!E80</f>
        <v>#REF!</v>
      </c>
      <c r="AA80" s="20" t="e">
        <f t="shared" si="49"/>
        <v>#DIV/0!</v>
      </c>
      <c r="AB80" s="21">
        <f t="shared" si="40"/>
        <v>0</v>
      </c>
      <c r="AC80" s="20">
        <f t="shared" si="41"/>
        <v>0</v>
      </c>
      <c r="AD80" s="20">
        <f t="shared" si="42"/>
        <v>0</v>
      </c>
      <c r="AE80" s="20">
        <f t="shared" si="43"/>
        <v>0</v>
      </c>
      <c r="AF80" s="19" t="e">
        <f t="shared" si="44"/>
        <v>#DIV/0!</v>
      </c>
      <c r="AG80" s="19" t="e">
        <f t="shared" si="45"/>
        <v>#DIV/0!</v>
      </c>
      <c r="AH80" s="19" t="e">
        <f t="shared" si="46"/>
        <v>#DIV/0!</v>
      </c>
      <c r="AI80" s="19" t="e">
        <f t="shared" si="47"/>
        <v>#DIV/0!</v>
      </c>
      <c r="AJ80" s="15">
        <f t="shared" si="50"/>
        <v>0</v>
      </c>
      <c r="AK80" s="19" t="e">
        <f t="shared" si="51"/>
        <v>#DIV/0!</v>
      </c>
      <c r="AL80" s="19" t="e">
        <f t="shared" si="52"/>
        <v>#DIV/0!</v>
      </c>
      <c r="AM80" s="19">
        <f t="shared" si="48"/>
        <v>0</v>
      </c>
      <c r="AN80" s="19" t="e">
        <f t="shared" si="53"/>
        <v>#DIV/0!</v>
      </c>
      <c r="AO80" s="19" t="e">
        <f t="shared" si="54"/>
        <v>#DIV/0!</v>
      </c>
      <c r="AP80" s="18" t="e">
        <f>-PV(#REF!,'3.4 - Open'!K80,'3.4 - Open'!P80)*'3.4 - Open'!B80</f>
        <v>#REF!</v>
      </c>
      <c r="AQ80" s="19" t="e">
        <f t="shared" si="55"/>
        <v>#REF!</v>
      </c>
      <c r="AR80" s="19" t="e">
        <f t="shared" si="56"/>
        <v>#REF!</v>
      </c>
      <c r="AS80" s="18" t="e">
        <f>B80*G80*K80*#REF!</f>
        <v>#REF!</v>
      </c>
      <c r="AT80" s="19" t="e">
        <f>B80*I80*K80*#REF!</f>
        <v>#REF!</v>
      </c>
      <c r="AU80" s="24"/>
      <c r="AV80" s="24"/>
      <c r="AW80" s="24"/>
      <c r="AX80" s="24"/>
      <c r="AY80" s="24"/>
    </row>
    <row r="81" spans="1:51" x14ac:dyDescent="0.25">
      <c r="A81" s="14"/>
      <c r="B81" s="14"/>
      <c r="C81" s="14"/>
      <c r="D81" s="14" t="s">
        <v>24</v>
      </c>
      <c r="E81" s="15"/>
      <c r="F81" s="15"/>
      <c r="G81" s="14"/>
      <c r="H81" s="14"/>
      <c r="I81" s="14"/>
      <c r="J81" s="14"/>
      <c r="K81" s="14"/>
      <c r="L81" s="14"/>
      <c r="M81" s="15"/>
      <c r="N81" s="15"/>
      <c r="O81" s="15"/>
      <c r="P81" s="15"/>
      <c r="Q81" s="15"/>
      <c r="R81" s="15"/>
      <c r="S81" s="15"/>
      <c r="T81" s="18">
        <f>IF(C81="Res Space Heat",VLOOKUP(K81,#REF!,4)*G81,IF(C81="Res AC",VLOOKUP(K81,#REF!,6)*G81,IF(C81="Res Lighting",VLOOKUP(K81,#REF!,8)*G81,IF(C81="Res Refrigeration",VLOOKUP(K81,#REF!,10)*G81,IF(C81="Res Water Heating",VLOOKUP(K81,#REF!,12)*G81,IF(C81="Res Dishwasher",VLOOKUP(K81,#REF!,14)*G81,IF(C81="Res Washer Dryer",VLOOKUP(K81,#REF!,16)*G81,IF(C81="Res Misc",VLOOKUP(K81,#REF!,18)*G81,IF(C81="Res Furnace Fan",VLOOKUP(K81,#REF!,20)*G81,IF(C81="NonRes Compressed Air",VLOOKUP(K81,#REF!,22)*G81,IF(C81="NonRes Cooking",VLOOKUP(K81,#REF!,24)*G81,IF(C81="NonRes Space Cooling",VLOOKUP(K81,#REF!,26)*G81,IF(C81="NonRes Exterior Lighting",VLOOKUP(K81,#REF!,28)*G81,IF(C81="NonRes Space Heating",VLOOKUP(K81,#REF!,30)*G81,IF(C81="NonRes Water Heating",VLOOKUP(K81,#REF!,32)*G81,IF(C81="NonRes Interior Lighting",VLOOKUP(K81,#REF!,34)*G81,IF(C81="NonRes Misc",VLOOKUP(K81,#REF!,36)*G81,IF(C81="NonRes Motors",VLOOKUP(K81,#REF!,38)*G81,IF(C81="NonRes Office Equipment",VLOOKUP(K81,#REF!,40)*G81,IF(C81="NonRes Process",VLOOKUP(K81,#REF!,42)*G81,IF(C81="NonRes Refrigeration",VLOOKUP(K81,#REF!,44)*G81,IF(C81="NonRes Ventilation",VLOOKUP(K81,#REF!,46)*G81,0))))))))))))))))))))))</f>
        <v>0</v>
      </c>
      <c r="U81" s="18">
        <f>IF(D81="Annual",VLOOKUP(K81,#REF!,4)*'3.4 - Open'!I81,IF(D81="Winter",VLOOKUP('3.4 - Open'!K81,#REF!,5)*'3.4 - Open'!I81,IF(D81="NA",0,0)))</f>
        <v>0</v>
      </c>
      <c r="V81" s="19" t="e">
        <f t="shared" si="36"/>
        <v>#DIV/0!</v>
      </c>
      <c r="W81" s="19" t="e">
        <f t="shared" si="37"/>
        <v>#DIV/0!</v>
      </c>
      <c r="X81" s="19" t="e">
        <f t="shared" si="38"/>
        <v>#DIV/0!</v>
      </c>
      <c r="Y81" s="19" t="e">
        <f t="shared" si="39"/>
        <v>#DIV/0!</v>
      </c>
      <c r="Z81" s="20" t="e">
        <f>(T81+U81+(PV(#REF!,'3.4 - Open'!K81,'3.4 - Open'!P81)*-1)+'3.4 - Open'!O81)/'3.4 - Open'!E81</f>
        <v>#REF!</v>
      </c>
      <c r="AA81" s="20" t="e">
        <f t="shared" si="49"/>
        <v>#DIV/0!</v>
      </c>
      <c r="AB81" s="21">
        <f t="shared" si="40"/>
        <v>0</v>
      </c>
      <c r="AC81" s="20">
        <f t="shared" si="41"/>
        <v>0</v>
      </c>
      <c r="AD81" s="20">
        <f t="shared" si="42"/>
        <v>0</v>
      </c>
      <c r="AE81" s="20">
        <f t="shared" si="43"/>
        <v>0</v>
      </c>
      <c r="AF81" s="19" t="e">
        <f t="shared" si="44"/>
        <v>#DIV/0!</v>
      </c>
      <c r="AG81" s="19" t="e">
        <f t="shared" si="45"/>
        <v>#DIV/0!</v>
      </c>
      <c r="AH81" s="19" t="e">
        <f t="shared" si="46"/>
        <v>#DIV/0!</v>
      </c>
      <c r="AI81" s="19" t="e">
        <f t="shared" si="47"/>
        <v>#DIV/0!</v>
      </c>
      <c r="AJ81" s="15">
        <f t="shared" si="50"/>
        <v>0</v>
      </c>
      <c r="AK81" s="19" t="e">
        <f t="shared" si="51"/>
        <v>#DIV/0!</v>
      </c>
      <c r="AL81" s="19" t="e">
        <f t="shared" si="52"/>
        <v>#DIV/0!</v>
      </c>
      <c r="AM81" s="19">
        <f t="shared" si="48"/>
        <v>0</v>
      </c>
      <c r="AN81" s="19" t="e">
        <f t="shared" si="53"/>
        <v>#DIV/0!</v>
      </c>
      <c r="AO81" s="19" t="e">
        <f t="shared" si="54"/>
        <v>#DIV/0!</v>
      </c>
      <c r="AP81" s="18" t="e">
        <f>-PV(#REF!,'3.4 - Open'!K81,'3.4 - Open'!P81)*'3.4 - Open'!B81</f>
        <v>#REF!</v>
      </c>
      <c r="AQ81" s="19" t="e">
        <f t="shared" si="55"/>
        <v>#REF!</v>
      </c>
      <c r="AR81" s="19" t="e">
        <f t="shared" si="56"/>
        <v>#REF!</v>
      </c>
      <c r="AS81" s="18" t="e">
        <f>B81*G81*K81*#REF!</f>
        <v>#REF!</v>
      </c>
      <c r="AT81" s="19" t="e">
        <f>B81*I81*K81*#REF!</f>
        <v>#REF!</v>
      </c>
      <c r="AU81" s="24"/>
      <c r="AV81" s="24"/>
      <c r="AW81" s="24"/>
      <c r="AX81" s="24"/>
      <c r="AY81" s="24"/>
    </row>
    <row r="82" spans="1:51" x14ac:dyDescent="0.25">
      <c r="A82" s="14"/>
      <c r="B82" s="14"/>
      <c r="C82" s="14"/>
      <c r="D82" s="14" t="s">
        <v>24</v>
      </c>
      <c r="E82" s="15"/>
      <c r="F82" s="15"/>
      <c r="G82" s="14"/>
      <c r="H82" s="14"/>
      <c r="I82" s="14"/>
      <c r="J82" s="14"/>
      <c r="K82" s="14"/>
      <c r="L82" s="14"/>
      <c r="M82" s="15"/>
      <c r="N82" s="15"/>
      <c r="O82" s="15"/>
      <c r="P82" s="15"/>
      <c r="Q82" s="15"/>
      <c r="R82" s="15"/>
      <c r="S82" s="15"/>
      <c r="T82" s="18">
        <f>IF(C82="Res Space Heat",VLOOKUP(K82,#REF!,4)*G82,IF(C82="Res AC",VLOOKUP(K82,#REF!,6)*G82,IF(C82="Res Lighting",VLOOKUP(K82,#REF!,8)*G82,IF(C82="Res Refrigeration",VLOOKUP(K82,#REF!,10)*G82,IF(C82="Res Water Heating",VLOOKUP(K82,#REF!,12)*G82,IF(C82="Res Dishwasher",VLOOKUP(K82,#REF!,14)*G82,IF(C82="Res Washer Dryer",VLOOKUP(K82,#REF!,16)*G82,IF(C82="Res Misc",VLOOKUP(K82,#REF!,18)*G82,IF(C82="Res Furnace Fan",VLOOKUP(K82,#REF!,20)*G82,IF(C82="NonRes Compressed Air",VLOOKUP(K82,#REF!,22)*G82,IF(C82="NonRes Cooking",VLOOKUP(K82,#REF!,24)*G82,IF(C82="NonRes Space Cooling",VLOOKUP(K82,#REF!,26)*G82,IF(C82="NonRes Exterior Lighting",VLOOKUP(K82,#REF!,28)*G82,IF(C82="NonRes Space Heating",VLOOKUP(K82,#REF!,30)*G82,IF(C82="NonRes Water Heating",VLOOKUP(K82,#REF!,32)*G82,IF(C82="NonRes Interior Lighting",VLOOKUP(K82,#REF!,34)*G82,IF(C82="NonRes Misc",VLOOKUP(K82,#REF!,36)*G82,IF(C82="NonRes Motors",VLOOKUP(K82,#REF!,38)*G82,IF(C82="NonRes Office Equipment",VLOOKUP(K82,#REF!,40)*G82,IF(C82="NonRes Process",VLOOKUP(K82,#REF!,42)*G82,IF(C82="NonRes Refrigeration",VLOOKUP(K82,#REF!,44)*G82,IF(C82="NonRes Ventilation",VLOOKUP(K82,#REF!,46)*G82,0))))))))))))))))))))))</f>
        <v>0</v>
      </c>
      <c r="U82" s="18">
        <f>IF(D82="Annual",VLOOKUP(K82,#REF!,4)*'3.4 - Open'!I82,IF(D82="Winter",VLOOKUP('3.4 - Open'!K82,#REF!,5)*'3.4 - Open'!I82,IF(D82="NA",0,0)))</f>
        <v>0</v>
      </c>
      <c r="V82" s="19" t="e">
        <f t="shared" si="36"/>
        <v>#DIV/0!</v>
      </c>
      <c r="W82" s="19" t="e">
        <f t="shared" si="37"/>
        <v>#DIV/0!</v>
      </c>
      <c r="X82" s="19" t="e">
        <f t="shared" si="38"/>
        <v>#DIV/0!</v>
      </c>
      <c r="Y82" s="19" t="e">
        <f t="shared" si="39"/>
        <v>#DIV/0!</v>
      </c>
      <c r="Z82" s="20" t="e">
        <f>(T82+U82+(PV(#REF!,'3.4 - Open'!K82,'3.4 - Open'!P82)*-1)+'3.4 - Open'!O82)/'3.4 - Open'!E82</f>
        <v>#REF!</v>
      </c>
      <c r="AA82" s="20" t="e">
        <f t="shared" si="49"/>
        <v>#DIV/0!</v>
      </c>
      <c r="AB82" s="21">
        <f t="shared" si="40"/>
        <v>0</v>
      </c>
      <c r="AC82" s="20">
        <f t="shared" si="41"/>
        <v>0</v>
      </c>
      <c r="AD82" s="20">
        <f t="shared" si="42"/>
        <v>0</v>
      </c>
      <c r="AE82" s="20">
        <f t="shared" si="43"/>
        <v>0</v>
      </c>
      <c r="AF82" s="19" t="e">
        <f t="shared" si="44"/>
        <v>#DIV/0!</v>
      </c>
      <c r="AG82" s="19" t="e">
        <f t="shared" si="45"/>
        <v>#DIV/0!</v>
      </c>
      <c r="AH82" s="19" t="e">
        <f t="shared" si="46"/>
        <v>#DIV/0!</v>
      </c>
      <c r="AI82" s="19" t="e">
        <f t="shared" si="47"/>
        <v>#DIV/0!</v>
      </c>
      <c r="AJ82" s="15">
        <f t="shared" si="50"/>
        <v>0</v>
      </c>
      <c r="AK82" s="19" t="e">
        <f t="shared" si="51"/>
        <v>#DIV/0!</v>
      </c>
      <c r="AL82" s="19" t="e">
        <f t="shared" si="52"/>
        <v>#DIV/0!</v>
      </c>
      <c r="AM82" s="19">
        <f t="shared" si="48"/>
        <v>0</v>
      </c>
      <c r="AN82" s="19" t="e">
        <f t="shared" si="53"/>
        <v>#DIV/0!</v>
      </c>
      <c r="AO82" s="19" t="e">
        <f t="shared" si="54"/>
        <v>#DIV/0!</v>
      </c>
      <c r="AP82" s="18" t="e">
        <f>-PV(#REF!,'3.4 - Open'!K82,'3.4 - Open'!P82)*'3.4 - Open'!B82</f>
        <v>#REF!</v>
      </c>
      <c r="AQ82" s="19" t="e">
        <f t="shared" si="55"/>
        <v>#REF!</v>
      </c>
      <c r="AR82" s="19" t="e">
        <f t="shared" si="56"/>
        <v>#REF!</v>
      </c>
      <c r="AS82" s="18" t="e">
        <f>B82*G82*K82*#REF!</f>
        <v>#REF!</v>
      </c>
      <c r="AT82" s="19" t="e">
        <f>B82*I82*K82*#REF!</f>
        <v>#REF!</v>
      </c>
      <c r="AU82" s="24"/>
      <c r="AV82" s="24"/>
      <c r="AW82" s="24"/>
      <c r="AX82" s="24"/>
      <c r="AY82" s="24"/>
    </row>
    <row r="83" spans="1:51" x14ac:dyDescent="0.25">
      <c r="A83" s="14"/>
      <c r="B83" s="14"/>
      <c r="C83" s="14"/>
      <c r="D83" s="14" t="s">
        <v>24</v>
      </c>
      <c r="E83" s="15"/>
      <c r="F83" s="15"/>
      <c r="G83" s="14"/>
      <c r="H83" s="14"/>
      <c r="I83" s="14"/>
      <c r="J83" s="14"/>
      <c r="K83" s="14"/>
      <c r="L83" s="14"/>
      <c r="M83" s="15"/>
      <c r="N83" s="15"/>
      <c r="O83" s="15"/>
      <c r="P83" s="15"/>
      <c r="Q83" s="15"/>
      <c r="R83" s="15"/>
      <c r="S83" s="15"/>
      <c r="T83" s="18">
        <f>IF(C83="Res Space Heat",VLOOKUP(K83,#REF!,4)*G83,IF(C83="Res AC",VLOOKUP(K83,#REF!,6)*G83,IF(C83="Res Lighting",VLOOKUP(K83,#REF!,8)*G83,IF(C83="Res Refrigeration",VLOOKUP(K83,#REF!,10)*G83,IF(C83="Res Water Heating",VLOOKUP(K83,#REF!,12)*G83,IF(C83="Res Dishwasher",VLOOKUP(K83,#REF!,14)*G83,IF(C83="Res Washer Dryer",VLOOKUP(K83,#REF!,16)*G83,IF(C83="Res Misc",VLOOKUP(K83,#REF!,18)*G83,IF(C83="Res Furnace Fan",VLOOKUP(K83,#REF!,20)*G83,IF(C83="NonRes Compressed Air",VLOOKUP(K83,#REF!,22)*G83,IF(C83="NonRes Cooking",VLOOKUP(K83,#REF!,24)*G83,IF(C83="NonRes Space Cooling",VLOOKUP(K83,#REF!,26)*G83,IF(C83="NonRes Exterior Lighting",VLOOKUP(K83,#REF!,28)*G83,IF(C83="NonRes Space Heating",VLOOKUP(K83,#REF!,30)*G83,IF(C83="NonRes Water Heating",VLOOKUP(K83,#REF!,32)*G83,IF(C83="NonRes Interior Lighting",VLOOKUP(K83,#REF!,34)*G83,IF(C83="NonRes Misc",VLOOKUP(K83,#REF!,36)*G83,IF(C83="NonRes Motors",VLOOKUP(K83,#REF!,38)*G83,IF(C83="NonRes Office Equipment",VLOOKUP(K83,#REF!,40)*G83,IF(C83="NonRes Process",VLOOKUP(K83,#REF!,42)*G83,IF(C83="NonRes Refrigeration",VLOOKUP(K83,#REF!,44)*G83,IF(C83="NonRes Ventilation",VLOOKUP(K83,#REF!,46)*G83,0))))))))))))))))))))))</f>
        <v>0</v>
      </c>
      <c r="U83" s="18">
        <f>IF(D83="Annual",VLOOKUP(K83,#REF!,4)*'3.4 - Open'!I83,IF(D83="Winter",VLOOKUP('3.4 - Open'!K83,#REF!,5)*'3.4 - Open'!I83,IF(D83="NA",0,0)))</f>
        <v>0</v>
      </c>
      <c r="V83" s="19" t="e">
        <f t="shared" si="36"/>
        <v>#DIV/0!</v>
      </c>
      <c r="W83" s="19" t="e">
        <f t="shared" si="37"/>
        <v>#DIV/0!</v>
      </c>
      <c r="X83" s="19" t="e">
        <f t="shared" si="38"/>
        <v>#DIV/0!</v>
      </c>
      <c r="Y83" s="19" t="e">
        <f t="shared" si="39"/>
        <v>#DIV/0!</v>
      </c>
      <c r="Z83" s="20" t="e">
        <f>(T83+U83+(PV(#REF!,'3.4 - Open'!K83,'3.4 - Open'!P83)*-1)+'3.4 - Open'!O83)/'3.4 - Open'!E83</f>
        <v>#REF!</v>
      </c>
      <c r="AA83" s="20" t="e">
        <f t="shared" si="49"/>
        <v>#DIV/0!</v>
      </c>
      <c r="AB83" s="21">
        <f t="shared" si="40"/>
        <v>0</v>
      </c>
      <c r="AC83" s="20">
        <f t="shared" si="41"/>
        <v>0</v>
      </c>
      <c r="AD83" s="20">
        <f t="shared" si="42"/>
        <v>0</v>
      </c>
      <c r="AE83" s="20">
        <f t="shared" si="43"/>
        <v>0</v>
      </c>
      <c r="AF83" s="19" t="e">
        <f t="shared" si="44"/>
        <v>#DIV/0!</v>
      </c>
      <c r="AG83" s="19" t="e">
        <f t="shared" si="45"/>
        <v>#DIV/0!</v>
      </c>
      <c r="AH83" s="19" t="e">
        <f t="shared" si="46"/>
        <v>#DIV/0!</v>
      </c>
      <c r="AI83" s="19" t="e">
        <f t="shared" si="47"/>
        <v>#DIV/0!</v>
      </c>
      <c r="AJ83" s="15">
        <f t="shared" si="50"/>
        <v>0</v>
      </c>
      <c r="AK83" s="19" t="e">
        <f t="shared" si="51"/>
        <v>#DIV/0!</v>
      </c>
      <c r="AL83" s="19" t="e">
        <f t="shared" si="52"/>
        <v>#DIV/0!</v>
      </c>
      <c r="AM83" s="19">
        <f t="shared" si="48"/>
        <v>0</v>
      </c>
      <c r="AN83" s="19" t="e">
        <f t="shared" si="53"/>
        <v>#DIV/0!</v>
      </c>
      <c r="AO83" s="19" t="e">
        <f t="shared" si="54"/>
        <v>#DIV/0!</v>
      </c>
      <c r="AP83" s="18" t="e">
        <f>-PV(#REF!,'3.4 - Open'!K83,'3.4 - Open'!P83)*'3.4 - Open'!B83</f>
        <v>#REF!</v>
      </c>
      <c r="AQ83" s="19" t="e">
        <f t="shared" si="55"/>
        <v>#REF!</v>
      </c>
      <c r="AR83" s="19" t="e">
        <f t="shared" si="56"/>
        <v>#REF!</v>
      </c>
      <c r="AS83" s="18" t="e">
        <f>B83*G83*K83*#REF!</f>
        <v>#REF!</v>
      </c>
      <c r="AT83" s="19" t="e">
        <f>B83*I83*K83*#REF!</f>
        <v>#REF!</v>
      </c>
      <c r="AU83" s="24"/>
      <c r="AV83" s="24"/>
      <c r="AW83" s="24"/>
      <c r="AX83" s="24"/>
      <c r="AY83" s="24"/>
    </row>
    <row r="84" spans="1:51" x14ac:dyDescent="0.25">
      <c r="A84" s="14"/>
      <c r="B84" s="14"/>
      <c r="C84" s="14"/>
      <c r="D84" s="14" t="s">
        <v>24</v>
      </c>
      <c r="E84" s="15"/>
      <c r="F84" s="15"/>
      <c r="G84" s="14"/>
      <c r="H84" s="14"/>
      <c r="I84" s="14"/>
      <c r="J84" s="14"/>
      <c r="K84" s="14"/>
      <c r="L84" s="14"/>
      <c r="M84" s="15"/>
      <c r="N84" s="15"/>
      <c r="O84" s="15"/>
      <c r="P84" s="15"/>
      <c r="Q84" s="15"/>
      <c r="R84" s="15"/>
      <c r="S84" s="15"/>
      <c r="T84" s="18">
        <f>IF(C84="Res Space Heat",VLOOKUP(K84,#REF!,4)*G84,IF(C84="Res AC",VLOOKUP(K84,#REF!,6)*G84,IF(C84="Res Lighting",VLOOKUP(K84,#REF!,8)*G84,IF(C84="Res Refrigeration",VLOOKUP(K84,#REF!,10)*G84,IF(C84="Res Water Heating",VLOOKUP(K84,#REF!,12)*G84,IF(C84="Res Dishwasher",VLOOKUP(K84,#REF!,14)*G84,IF(C84="Res Washer Dryer",VLOOKUP(K84,#REF!,16)*G84,IF(C84="Res Misc",VLOOKUP(K84,#REF!,18)*G84,IF(C84="Res Furnace Fan",VLOOKUP(K84,#REF!,20)*G84,IF(C84="NonRes Compressed Air",VLOOKUP(K84,#REF!,22)*G84,IF(C84="NonRes Cooking",VLOOKUP(K84,#REF!,24)*G84,IF(C84="NonRes Space Cooling",VLOOKUP(K84,#REF!,26)*G84,IF(C84="NonRes Exterior Lighting",VLOOKUP(K84,#REF!,28)*G84,IF(C84="NonRes Space Heating",VLOOKUP(K84,#REF!,30)*G84,IF(C84="NonRes Water Heating",VLOOKUP(K84,#REF!,32)*G84,IF(C84="NonRes Interior Lighting",VLOOKUP(K84,#REF!,34)*G84,IF(C84="NonRes Misc",VLOOKUP(K84,#REF!,36)*G84,IF(C84="NonRes Motors",VLOOKUP(K84,#REF!,38)*G84,IF(C84="NonRes Office Equipment",VLOOKUP(K84,#REF!,40)*G84,IF(C84="NonRes Process",VLOOKUP(K84,#REF!,42)*G84,IF(C84="NonRes Refrigeration",VLOOKUP(K84,#REF!,44)*G84,IF(C84="NonRes Ventilation",VLOOKUP(K84,#REF!,46)*G84,0))))))))))))))))))))))</f>
        <v>0</v>
      </c>
      <c r="U84" s="18">
        <f>IF(D84="Annual",VLOOKUP(K84,#REF!,4)*'3.4 - Open'!I84,IF(D84="Winter",VLOOKUP('3.4 - Open'!K84,#REF!,5)*'3.4 - Open'!I84,IF(D84="NA",0,0)))</f>
        <v>0</v>
      </c>
      <c r="V84" s="19" t="e">
        <f t="shared" si="36"/>
        <v>#DIV/0!</v>
      </c>
      <c r="W84" s="19" t="e">
        <f t="shared" si="37"/>
        <v>#DIV/0!</v>
      </c>
      <c r="X84" s="19" t="e">
        <f t="shared" si="38"/>
        <v>#DIV/0!</v>
      </c>
      <c r="Y84" s="19" t="e">
        <f t="shared" si="39"/>
        <v>#DIV/0!</v>
      </c>
      <c r="Z84" s="20" t="e">
        <f>(T84+U84+(PV(#REF!,'3.4 - Open'!K84,'3.4 - Open'!P84)*-1)+'3.4 - Open'!O84)/'3.4 - Open'!E84</f>
        <v>#REF!</v>
      </c>
      <c r="AA84" s="20" t="e">
        <f t="shared" si="49"/>
        <v>#DIV/0!</v>
      </c>
      <c r="AB84" s="21">
        <f t="shared" si="40"/>
        <v>0</v>
      </c>
      <c r="AC84" s="20">
        <f t="shared" si="41"/>
        <v>0</v>
      </c>
      <c r="AD84" s="20">
        <f t="shared" si="42"/>
        <v>0</v>
      </c>
      <c r="AE84" s="20">
        <f t="shared" si="43"/>
        <v>0</v>
      </c>
      <c r="AF84" s="19" t="e">
        <f t="shared" si="44"/>
        <v>#DIV/0!</v>
      </c>
      <c r="AG84" s="19" t="e">
        <f t="shared" si="45"/>
        <v>#DIV/0!</v>
      </c>
      <c r="AH84" s="19" t="e">
        <f t="shared" si="46"/>
        <v>#DIV/0!</v>
      </c>
      <c r="AI84" s="19" t="e">
        <f t="shared" si="47"/>
        <v>#DIV/0!</v>
      </c>
      <c r="AJ84" s="15">
        <f t="shared" si="50"/>
        <v>0</v>
      </c>
      <c r="AK84" s="19" t="e">
        <f t="shared" si="51"/>
        <v>#DIV/0!</v>
      </c>
      <c r="AL84" s="19" t="e">
        <f t="shared" si="52"/>
        <v>#DIV/0!</v>
      </c>
      <c r="AM84" s="19">
        <f t="shared" si="48"/>
        <v>0</v>
      </c>
      <c r="AN84" s="19" t="e">
        <f t="shared" si="53"/>
        <v>#DIV/0!</v>
      </c>
      <c r="AO84" s="19" t="e">
        <f t="shared" si="54"/>
        <v>#DIV/0!</v>
      </c>
      <c r="AP84" s="18" t="e">
        <f>-PV(#REF!,'3.4 - Open'!K84,'3.4 - Open'!P84)*'3.4 - Open'!B84</f>
        <v>#REF!</v>
      </c>
      <c r="AQ84" s="19" t="e">
        <f t="shared" si="55"/>
        <v>#REF!</v>
      </c>
      <c r="AR84" s="19" t="e">
        <f t="shared" si="56"/>
        <v>#REF!</v>
      </c>
      <c r="AS84" s="18" t="e">
        <f>B84*G84*K84*#REF!</f>
        <v>#REF!</v>
      </c>
      <c r="AT84" s="19" t="e">
        <f>B84*I84*K84*#REF!</f>
        <v>#REF!</v>
      </c>
      <c r="AU84" s="24"/>
      <c r="AV84" s="24"/>
      <c r="AW84" s="24"/>
      <c r="AX84" s="24"/>
      <c r="AY84" s="24"/>
    </row>
    <row r="85" spans="1:51" x14ac:dyDescent="0.25">
      <c r="A85" s="14"/>
      <c r="B85" s="14"/>
      <c r="C85" s="14"/>
      <c r="D85" s="14" t="s">
        <v>24</v>
      </c>
      <c r="E85" s="15"/>
      <c r="F85" s="15"/>
      <c r="G85" s="14"/>
      <c r="H85" s="14"/>
      <c r="I85" s="14"/>
      <c r="J85" s="14"/>
      <c r="K85" s="14"/>
      <c r="L85" s="14"/>
      <c r="M85" s="15"/>
      <c r="N85" s="15"/>
      <c r="O85" s="15"/>
      <c r="P85" s="15"/>
      <c r="Q85" s="15"/>
      <c r="R85" s="15"/>
      <c r="S85" s="15"/>
      <c r="T85" s="18">
        <f>IF(C85="Res Space Heat",VLOOKUP(K85,#REF!,4)*G85,IF(C85="Res AC",VLOOKUP(K85,#REF!,6)*G85,IF(C85="Res Lighting",VLOOKUP(K85,#REF!,8)*G85,IF(C85="Res Refrigeration",VLOOKUP(K85,#REF!,10)*G85,IF(C85="Res Water Heating",VLOOKUP(K85,#REF!,12)*G85,IF(C85="Res Dishwasher",VLOOKUP(K85,#REF!,14)*G85,IF(C85="Res Washer Dryer",VLOOKUP(K85,#REF!,16)*G85,IF(C85="Res Misc",VLOOKUP(K85,#REF!,18)*G85,IF(C85="Res Furnace Fan",VLOOKUP(K85,#REF!,20)*G85,IF(C85="NonRes Compressed Air",VLOOKUP(K85,#REF!,22)*G85,IF(C85="NonRes Cooking",VLOOKUP(K85,#REF!,24)*G85,IF(C85="NonRes Space Cooling",VLOOKUP(K85,#REF!,26)*G85,IF(C85="NonRes Exterior Lighting",VLOOKUP(K85,#REF!,28)*G85,IF(C85="NonRes Space Heating",VLOOKUP(K85,#REF!,30)*G85,IF(C85="NonRes Water Heating",VLOOKUP(K85,#REF!,32)*G85,IF(C85="NonRes Interior Lighting",VLOOKUP(K85,#REF!,34)*G85,IF(C85="NonRes Misc",VLOOKUP(K85,#REF!,36)*G85,IF(C85="NonRes Motors",VLOOKUP(K85,#REF!,38)*G85,IF(C85="NonRes Office Equipment",VLOOKUP(K85,#REF!,40)*G85,IF(C85="NonRes Process",VLOOKUP(K85,#REF!,42)*G85,IF(C85="NonRes Refrigeration",VLOOKUP(K85,#REF!,44)*G85,IF(C85="NonRes Ventilation",VLOOKUP(K85,#REF!,46)*G85,0))))))))))))))))))))))</f>
        <v>0</v>
      </c>
      <c r="U85" s="18">
        <f>IF(D85="Annual",VLOOKUP(K85,#REF!,4)*'3.4 - Open'!I85,IF(D85="Winter",VLOOKUP('3.4 - Open'!K85,#REF!,5)*'3.4 - Open'!I85,IF(D85="NA",0,0)))</f>
        <v>0</v>
      </c>
      <c r="V85" s="19" t="e">
        <f t="shared" si="36"/>
        <v>#DIV/0!</v>
      </c>
      <c r="W85" s="19" t="e">
        <f t="shared" si="37"/>
        <v>#DIV/0!</v>
      </c>
      <c r="X85" s="19" t="e">
        <f t="shared" si="38"/>
        <v>#DIV/0!</v>
      </c>
      <c r="Y85" s="19" t="e">
        <f t="shared" si="39"/>
        <v>#DIV/0!</v>
      </c>
      <c r="Z85" s="20" t="e">
        <f>(T85+U85+(PV(#REF!,'3.4 - Open'!K85,'3.4 - Open'!P85)*-1)+'3.4 - Open'!O85)/'3.4 - Open'!E85</f>
        <v>#REF!</v>
      </c>
      <c r="AA85" s="20" t="e">
        <f t="shared" si="49"/>
        <v>#DIV/0!</v>
      </c>
      <c r="AB85" s="21">
        <f t="shared" si="40"/>
        <v>0</v>
      </c>
      <c r="AC85" s="20">
        <f t="shared" si="41"/>
        <v>0</v>
      </c>
      <c r="AD85" s="20">
        <f t="shared" si="42"/>
        <v>0</v>
      </c>
      <c r="AE85" s="20">
        <f t="shared" si="43"/>
        <v>0</v>
      </c>
      <c r="AF85" s="19" t="e">
        <f t="shared" si="44"/>
        <v>#DIV/0!</v>
      </c>
      <c r="AG85" s="19" t="e">
        <f t="shared" si="45"/>
        <v>#DIV/0!</v>
      </c>
      <c r="AH85" s="19" t="e">
        <f t="shared" si="46"/>
        <v>#DIV/0!</v>
      </c>
      <c r="AI85" s="19" t="e">
        <f t="shared" si="47"/>
        <v>#DIV/0!</v>
      </c>
      <c r="AJ85" s="15">
        <f t="shared" si="50"/>
        <v>0</v>
      </c>
      <c r="AK85" s="19" t="e">
        <f t="shared" si="51"/>
        <v>#DIV/0!</v>
      </c>
      <c r="AL85" s="19" t="e">
        <f t="shared" si="52"/>
        <v>#DIV/0!</v>
      </c>
      <c r="AM85" s="19">
        <f t="shared" si="48"/>
        <v>0</v>
      </c>
      <c r="AN85" s="19" t="e">
        <f t="shared" si="53"/>
        <v>#DIV/0!</v>
      </c>
      <c r="AO85" s="19" t="e">
        <f t="shared" si="54"/>
        <v>#DIV/0!</v>
      </c>
      <c r="AP85" s="18" t="e">
        <f>-PV(#REF!,'3.4 - Open'!K85,'3.4 - Open'!P85)*'3.4 - Open'!B85</f>
        <v>#REF!</v>
      </c>
      <c r="AQ85" s="19" t="e">
        <f t="shared" si="55"/>
        <v>#REF!</v>
      </c>
      <c r="AR85" s="19" t="e">
        <f t="shared" si="56"/>
        <v>#REF!</v>
      </c>
      <c r="AS85" s="18" t="e">
        <f>B85*G85*K85*#REF!</f>
        <v>#REF!</v>
      </c>
      <c r="AT85" s="19" t="e">
        <f>B85*I85*K85*#REF!</f>
        <v>#REF!</v>
      </c>
      <c r="AU85" s="24"/>
      <c r="AV85" s="24"/>
      <c r="AW85" s="24"/>
      <c r="AX85" s="24"/>
      <c r="AY85" s="24"/>
    </row>
    <row r="86" spans="1:51" x14ac:dyDescent="0.25">
      <c r="A86" s="14"/>
      <c r="B86" s="14"/>
      <c r="C86" s="14"/>
      <c r="D86" s="14" t="s">
        <v>24</v>
      </c>
      <c r="E86" s="15"/>
      <c r="F86" s="15"/>
      <c r="G86" s="14"/>
      <c r="H86" s="14"/>
      <c r="I86" s="14"/>
      <c r="J86" s="14"/>
      <c r="K86" s="14"/>
      <c r="L86" s="14"/>
      <c r="M86" s="15"/>
      <c r="N86" s="15"/>
      <c r="O86" s="15"/>
      <c r="P86" s="15"/>
      <c r="Q86" s="15"/>
      <c r="R86" s="15"/>
      <c r="S86" s="15"/>
      <c r="T86" s="18">
        <f>IF(C86="Res Space Heat",VLOOKUP(K86,#REF!,4)*G86,IF(C86="Res AC",VLOOKUP(K86,#REF!,6)*G86,IF(C86="Res Lighting",VLOOKUP(K86,#REF!,8)*G86,IF(C86="Res Refrigeration",VLOOKUP(K86,#REF!,10)*G86,IF(C86="Res Water Heating",VLOOKUP(K86,#REF!,12)*G86,IF(C86="Res Dishwasher",VLOOKUP(K86,#REF!,14)*G86,IF(C86="Res Washer Dryer",VLOOKUP(K86,#REF!,16)*G86,IF(C86="Res Misc",VLOOKUP(K86,#REF!,18)*G86,IF(C86="Res Furnace Fan",VLOOKUP(K86,#REF!,20)*G86,IF(C86="NonRes Compressed Air",VLOOKUP(K86,#REF!,22)*G86,IF(C86="NonRes Cooking",VLOOKUP(K86,#REF!,24)*G86,IF(C86="NonRes Space Cooling",VLOOKUP(K86,#REF!,26)*G86,IF(C86="NonRes Exterior Lighting",VLOOKUP(K86,#REF!,28)*G86,IF(C86="NonRes Space Heating",VLOOKUP(K86,#REF!,30)*G86,IF(C86="NonRes Water Heating",VLOOKUP(K86,#REF!,32)*G86,IF(C86="NonRes Interior Lighting",VLOOKUP(K86,#REF!,34)*G86,IF(C86="NonRes Misc",VLOOKUP(K86,#REF!,36)*G86,IF(C86="NonRes Motors",VLOOKUP(K86,#REF!,38)*G86,IF(C86="NonRes Office Equipment",VLOOKUP(K86,#REF!,40)*G86,IF(C86="NonRes Process",VLOOKUP(K86,#REF!,42)*G86,IF(C86="NonRes Refrigeration",VLOOKUP(K86,#REF!,44)*G86,IF(C86="NonRes Ventilation",VLOOKUP(K86,#REF!,46)*G86,0))))))))))))))))))))))</f>
        <v>0</v>
      </c>
      <c r="U86" s="18">
        <f>IF(D86="Annual",VLOOKUP(K86,#REF!,4)*'3.4 - Open'!I86,IF(D86="Winter",VLOOKUP('3.4 - Open'!K86,#REF!,5)*'3.4 - Open'!I86,IF(D86="NA",0,0)))</f>
        <v>0</v>
      </c>
      <c r="V86" s="19" t="e">
        <f t="shared" si="36"/>
        <v>#DIV/0!</v>
      </c>
      <c r="W86" s="19" t="e">
        <f t="shared" si="37"/>
        <v>#DIV/0!</v>
      </c>
      <c r="X86" s="19" t="e">
        <f t="shared" si="38"/>
        <v>#DIV/0!</v>
      </c>
      <c r="Y86" s="19" t="e">
        <f t="shared" si="39"/>
        <v>#DIV/0!</v>
      </c>
      <c r="Z86" s="20" t="e">
        <f>(T86+U86+(PV(#REF!,'3.4 - Open'!K86,'3.4 - Open'!P86)*-1)+'3.4 - Open'!O86)/'3.4 - Open'!E86</f>
        <v>#REF!</v>
      </c>
      <c r="AA86" s="20" t="e">
        <f t="shared" si="49"/>
        <v>#DIV/0!</v>
      </c>
      <c r="AB86" s="21">
        <f t="shared" si="40"/>
        <v>0</v>
      </c>
      <c r="AC86" s="20">
        <f t="shared" si="41"/>
        <v>0</v>
      </c>
      <c r="AD86" s="20">
        <f t="shared" si="42"/>
        <v>0</v>
      </c>
      <c r="AE86" s="20">
        <f t="shared" si="43"/>
        <v>0</v>
      </c>
      <c r="AF86" s="19" t="e">
        <f t="shared" si="44"/>
        <v>#DIV/0!</v>
      </c>
      <c r="AG86" s="19" t="e">
        <f t="shared" si="45"/>
        <v>#DIV/0!</v>
      </c>
      <c r="AH86" s="19" t="e">
        <f t="shared" si="46"/>
        <v>#DIV/0!</v>
      </c>
      <c r="AI86" s="19" t="e">
        <f t="shared" si="47"/>
        <v>#DIV/0!</v>
      </c>
      <c r="AJ86" s="15">
        <f t="shared" si="50"/>
        <v>0</v>
      </c>
      <c r="AK86" s="19" t="e">
        <f t="shared" si="51"/>
        <v>#DIV/0!</v>
      </c>
      <c r="AL86" s="19" t="e">
        <f t="shared" si="52"/>
        <v>#DIV/0!</v>
      </c>
      <c r="AM86" s="19">
        <f t="shared" si="48"/>
        <v>0</v>
      </c>
      <c r="AN86" s="19" t="e">
        <f t="shared" si="53"/>
        <v>#DIV/0!</v>
      </c>
      <c r="AO86" s="19" t="e">
        <f t="shared" si="54"/>
        <v>#DIV/0!</v>
      </c>
      <c r="AP86" s="18" t="e">
        <f>-PV(#REF!,'3.4 - Open'!K86,'3.4 - Open'!P86)*'3.4 - Open'!B86</f>
        <v>#REF!</v>
      </c>
      <c r="AQ86" s="19" t="e">
        <f t="shared" si="55"/>
        <v>#REF!</v>
      </c>
      <c r="AR86" s="19" t="e">
        <f t="shared" si="56"/>
        <v>#REF!</v>
      </c>
      <c r="AS86" s="18" t="e">
        <f>B86*G86*K86*#REF!</f>
        <v>#REF!</v>
      </c>
      <c r="AT86" s="19" t="e">
        <f>B86*I86*K86*#REF!</f>
        <v>#REF!</v>
      </c>
      <c r="AU86" s="24"/>
      <c r="AV86" s="24"/>
      <c r="AW86" s="24"/>
      <c r="AX86" s="24"/>
      <c r="AY86" s="24"/>
    </row>
    <row r="87" spans="1:51" x14ac:dyDescent="0.25">
      <c r="A87" s="14"/>
      <c r="B87" s="14"/>
      <c r="C87" s="14"/>
      <c r="D87" s="14" t="s">
        <v>24</v>
      </c>
      <c r="E87" s="15"/>
      <c r="F87" s="15"/>
      <c r="G87" s="14"/>
      <c r="H87" s="14"/>
      <c r="I87" s="14"/>
      <c r="J87" s="14"/>
      <c r="K87" s="14"/>
      <c r="L87" s="14"/>
      <c r="M87" s="15"/>
      <c r="N87" s="15"/>
      <c r="O87" s="15"/>
      <c r="P87" s="15"/>
      <c r="Q87" s="15"/>
      <c r="R87" s="15"/>
      <c r="S87" s="15"/>
      <c r="T87" s="18">
        <f>IF(C87="Res Space Heat",VLOOKUP(K87,#REF!,4)*G87,IF(C87="Res AC",VLOOKUP(K87,#REF!,6)*G87,IF(C87="Res Lighting",VLOOKUP(K87,#REF!,8)*G87,IF(C87="Res Refrigeration",VLOOKUP(K87,#REF!,10)*G87,IF(C87="Res Water Heating",VLOOKUP(K87,#REF!,12)*G87,IF(C87="Res Dishwasher",VLOOKUP(K87,#REF!,14)*G87,IF(C87="Res Washer Dryer",VLOOKUP(K87,#REF!,16)*G87,IF(C87="Res Misc",VLOOKUP(K87,#REF!,18)*G87,IF(C87="Res Furnace Fan",VLOOKUP(K87,#REF!,20)*G87,IF(C87="NonRes Compressed Air",VLOOKUP(K87,#REF!,22)*G87,IF(C87="NonRes Cooking",VLOOKUP(K87,#REF!,24)*G87,IF(C87="NonRes Space Cooling",VLOOKUP(K87,#REF!,26)*G87,IF(C87="NonRes Exterior Lighting",VLOOKUP(K87,#REF!,28)*G87,IF(C87="NonRes Space Heating",VLOOKUP(K87,#REF!,30)*G87,IF(C87="NonRes Water Heating",VLOOKUP(K87,#REF!,32)*G87,IF(C87="NonRes Interior Lighting",VLOOKUP(K87,#REF!,34)*G87,IF(C87="NonRes Misc",VLOOKUP(K87,#REF!,36)*G87,IF(C87="NonRes Motors",VLOOKUP(K87,#REF!,38)*G87,IF(C87="NonRes Office Equipment",VLOOKUP(K87,#REF!,40)*G87,IF(C87="NonRes Process",VLOOKUP(K87,#REF!,42)*G87,IF(C87="NonRes Refrigeration",VLOOKUP(K87,#REF!,44)*G87,IF(C87="NonRes Ventilation",VLOOKUP(K87,#REF!,46)*G87,0))))))))))))))))))))))</f>
        <v>0</v>
      </c>
      <c r="U87" s="18">
        <f>IF(D87="Annual",VLOOKUP(K87,#REF!,4)*'3.4 - Open'!I87,IF(D87="Winter",VLOOKUP('3.4 - Open'!K87,#REF!,5)*'3.4 - Open'!I87,IF(D87="NA",0,0)))</f>
        <v>0</v>
      </c>
      <c r="V87" s="19" t="e">
        <f t="shared" si="36"/>
        <v>#DIV/0!</v>
      </c>
      <c r="W87" s="19" t="e">
        <f t="shared" si="37"/>
        <v>#DIV/0!</v>
      </c>
      <c r="X87" s="19" t="e">
        <f t="shared" si="38"/>
        <v>#DIV/0!</v>
      </c>
      <c r="Y87" s="19" t="e">
        <f t="shared" si="39"/>
        <v>#DIV/0!</v>
      </c>
      <c r="Z87" s="20" t="e">
        <f>(T87+U87+(PV(#REF!,'3.4 - Open'!K87,'3.4 - Open'!P87)*-1)+'3.4 - Open'!O87)/'3.4 - Open'!E87</f>
        <v>#REF!</v>
      </c>
      <c r="AA87" s="20" t="e">
        <f t="shared" si="49"/>
        <v>#DIV/0!</v>
      </c>
      <c r="AB87" s="21">
        <f t="shared" si="40"/>
        <v>0</v>
      </c>
      <c r="AC87" s="20">
        <f t="shared" si="41"/>
        <v>0</v>
      </c>
      <c r="AD87" s="20">
        <f t="shared" si="42"/>
        <v>0</v>
      </c>
      <c r="AE87" s="20">
        <f t="shared" si="43"/>
        <v>0</v>
      </c>
      <c r="AF87" s="19" t="e">
        <f t="shared" si="44"/>
        <v>#DIV/0!</v>
      </c>
      <c r="AG87" s="19" t="e">
        <f t="shared" si="45"/>
        <v>#DIV/0!</v>
      </c>
      <c r="AH87" s="19" t="e">
        <f t="shared" si="46"/>
        <v>#DIV/0!</v>
      </c>
      <c r="AI87" s="19" t="e">
        <f t="shared" si="47"/>
        <v>#DIV/0!</v>
      </c>
      <c r="AJ87" s="15">
        <f t="shared" si="50"/>
        <v>0</v>
      </c>
      <c r="AK87" s="19" t="e">
        <f t="shared" si="51"/>
        <v>#DIV/0!</v>
      </c>
      <c r="AL87" s="19" t="e">
        <f t="shared" si="52"/>
        <v>#DIV/0!</v>
      </c>
      <c r="AM87" s="19">
        <f t="shared" si="48"/>
        <v>0</v>
      </c>
      <c r="AN87" s="19" t="e">
        <f t="shared" si="53"/>
        <v>#DIV/0!</v>
      </c>
      <c r="AO87" s="19" t="e">
        <f t="shared" si="54"/>
        <v>#DIV/0!</v>
      </c>
      <c r="AP87" s="18" t="e">
        <f>-PV(#REF!,'3.4 - Open'!K87,'3.4 - Open'!P87)*'3.4 - Open'!B87</f>
        <v>#REF!</v>
      </c>
      <c r="AQ87" s="19" t="e">
        <f t="shared" si="55"/>
        <v>#REF!</v>
      </c>
      <c r="AR87" s="19" t="e">
        <f t="shared" si="56"/>
        <v>#REF!</v>
      </c>
      <c r="AS87" s="18" t="e">
        <f>B87*G87*K87*#REF!</f>
        <v>#REF!</v>
      </c>
      <c r="AT87" s="19" t="e">
        <f>B87*I87*K87*#REF!</f>
        <v>#REF!</v>
      </c>
      <c r="AU87" s="24"/>
      <c r="AV87" s="24"/>
      <c r="AW87" s="24"/>
      <c r="AX87" s="24"/>
      <c r="AY87" s="24"/>
    </row>
    <row r="88" spans="1:51" x14ac:dyDescent="0.25">
      <c r="A88" s="14"/>
      <c r="B88" s="14"/>
      <c r="C88" s="14"/>
      <c r="D88" s="14" t="s">
        <v>24</v>
      </c>
      <c r="E88" s="15"/>
      <c r="F88" s="15"/>
      <c r="G88" s="14"/>
      <c r="H88" s="14"/>
      <c r="I88" s="14"/>
      <c r="J88" s="14"/>
      <c r="K88" s="14"/>
      <c r="L88" s="14"/>
      <c r="M88" s="15"/>
      <c r="N88" s="15"/>
      <c r="O88" s="15"/>
      <c r="P88" s="15"/>
      <c r="Q88" s="15"/>
      <c r="R88" s="15"/>
      <c r="S88" s="15"/>
      <c r="T88" s="18">
        <f>IF(C88="Res Space Heat",VLOOKUP(K88,#REF!,4)*G88,IF(C88="Res AC",VLOOKUP(K88,#REF!,6)*G88,IF(C88="Res Lighting",VLOOKUP(K88,#REF!,8)*G88,IF(C88="Res Refrigeration",VLOOKUP(K88,#REF!,10)*G88,IF(C88="Res Water Heating",VLOOKUP(K88,#REF!,12)*G88,IF(C88="Res Dishwasher",VLOOKUP(K88,#REF!,14)*G88,IF(C88="Res Washer Dryer",VLOOKUP(K88,#REF!,16)*G88,IF(C88="Res Misc",VLOOKUP(K88,#REF!,18)*G88,IF(C88="Res Furnace Fan",VLOOKUP(K88,#REF!,20)*G88,IF(C88="NonRes Compressed Air",VLOOKUP(K88,#REF!,22)*G88,IF(C88="NonRes Cooking",VLOOKUP(K88,#REF!,24)*G88,IF(C88="NonRes Space Cooling",VLOOKUP(K88,#REF!,26)*G88,IF(C88="NonRes Exterior Lighting",VLOOKUP(K88,#REF!,28)*G88,IF(C88="NonRes Space Heating",VLOOKUP(K88,#REF!,30)*G88,IF(C88="NonRes Water Heating",VLOOKUP(K88,#REF!,32)*G88,IF(C88="NonRes Interior Lighting",VLOOKUP(K88,#REF!,34)*G88,IF(C88="NonRes Misc",VLOOKUP(K88,#REF!,36)*G88,IF(C88="NonRes Motors",VLOOKUP(K88,#REF!,38)*G88,IF(C88="NonRes Office Equipment",VLOOKUP(K88,#REF!,40)*G88,IF(C88="NonRes Process",VLOOKUP(K88,#REF!,42)*G88,IF(C88="NonRes Refrigeration",VLOOKUP(K88,#REF!,44)*G88,IF(C88="NonRes Ventilation",VLOOKUP(K88,#REF!,46)*G88,0))))))))))))))))))))))</f>
        <v>0</v>
      </c>
      <c r="U88" s="18">
        <f>IF(D88="Annual",VLOOKUP(K88,#REF!,4)*'3.4 - Open'!I88,IF(D88="Winter",VLOOKUP('3.4 - Open'!K88,#REF!,5)*'3.4 - Open'!I88,IF(D88="NA",0,0)))</f>
        <v>0</v>
      </c>
      <c r="V88" s="19" t="e">
        <f t="shared" si="36"/>
        <v>#DIV/0!</v>
      </c>
      <c r="W88" s="19" t="e">
        <f t="shared" si="37"/>
        <v>#DIV/0!</v>
      </c>
      <c r="X88" s="19" t="e">
        <f t="shared" si="38"/>
        <v>#DIV/0!</v>
      </c>
      <c r="Y88" s="19" t="e">
        <f t="shared" si="39"/>
        <v>#DIV/0!</v>
      </c>
      <c r="Z88" s="20" t="e">
        <f>(T88+U88+(PV(#REF!,'3.4 - Open'!K88,'3.4 - Open'!P88)*-1)+'3.4 - Open'!O88)/'3.4 - Open'!E88</f>
        <v>#REF!</v>
      </c>
      <c r="AA88" s="20" t="e">
        <f t="shared" si="49"/>
        <v>#DIV/0!</v>
      </c>
      <c r="AB88" s="21">
        <f t="shared" si="40"/>
        <v>0</v>
      </c>
      <c r="AC88" s="20">
        <f t="shared" si="41"/>
        <v>0</v>
      </c>
      <c r="AD88" s="20">
        <f t="shared" si="42"/>
        <v>0</v>
      </c>
      <c r="AE88" s="20">
        <f t="shared" si="43"/>
        <v>0</v>
      </c>
      <c r="AF88" s="19" t="e">
        <f t="shared" si="44"/>
        <v>#DIV/0!</v>
      </c>
      <c r="AG88" s="19" t="e">
        <f t="shared" si="45"/>
        <v>#DIV/0!</v>
      </c>
      <c r="AH88" s="19" t="e">
        <f t="shared" si="46"/>
        <v>#DIV/0!</v>
      </c>
      <c r="AI88" s="19" t="e">
        <f t="shared" si="47"/>
        <v>#DIV/0!</v>
      </c>
      <c r="AJ88" s="15">
        <f t="shared" si="50"/>
        <v>0</v>
      </c>
      <c r="AK88" s="19" t="e">
        <f t="shared" si="51"/>
        <v>#DIV/0!</v>
      </c>
      <c r="AL88" s="19" t="e">
        <f t="shared" si="52"/>
        <v>#DIV/0!</v>
      </c>
      <c r="AM88" s="19">
        <f t="shared" si="48"/>
        <v>0</v>
      </c>
      <c r="AN88" s="19" t="e">
        <f t="shared" si="53"/>
        <v>#DIV/0!</v>
      </c>
      <c r="AO88" s="19" t="e">
        <f t="shared" si="54"/>
        <v>#DIV/0!</v>
      </c>
      <c r="AP88" s="18" t="e">
        <f>-PV(#REF!,'3.4 - Open'!K88,'3.4 - Open'!P88)*'3.4 - Open'!B88</f>
        <v>#REF!</v>
      </c>
      <c r="AQ88" s="19" t="e">
        <f t="shared" si="55"/>
        <v>#REF!</v>
      </c>
      <c r="AR88" s="19" t="e">
        <f t="shared" si="56"/>
        <v>#REF!</v>
      </c>
      <c r="AS88" s="18" t="e">
        <f>B88*G88*K88*#REF!</f>
        <v>#REF!</v>
      </c>
      <c r="AT88" s="19" t="e">
        <f>B88*I88*K88*#REF!</f>
        <v>#REF!</v>
      </c>
      <c r="AU88" s="24"/>
      <c r="AV88" s="24"/>
      <c r="AW88" s="24"/>
      <c r="AX88" s="24"/>
      <c r="AY88" s="24"/>
    </row>
    <row r="89" spans="1:51" x14ac:dyDescent="0.25">
      <c r="A89" s="14"/>
      <c r="B89" s="14"/>
      <c r="C89" s="14"/>
      <c r="D89" s="14" t="s">
        <v>24</v>
      </c>
      <c r="E89" s="15"/>
      <c r="F89" s="15"/>
      <c r="G89" s="14"/>
      <c r="H89" s="14"/>
      <c r="I89" s="14"/>
      <c r="J89" s="14"/>
      <c r="K89" s="14"/>
      <c r="L89" s="14"/>
      <c r="M89" s="15"/>
      <c r="N89" s="15"/>
      <c r="O89" s="15"/>
      <c r="P89" s="15"/>
      <c r="Q89" s="15"/>
      <c r="R89" s="15"/>
      <c r="S89" s="15"/>
      <c r="T89" s="18">
        <f>IF(C89="Res Space Heat",VLOOKUP(K89,#REF!,4)*G89,IF(C89="Res AC",VLOOKUP(K89,#REF!,6)*G89,IF(C89="Res Lighting",VLOOKUP(K89,#REF!,8)*G89,IF(C89="Res Refrigeration",VLOOKUP(K89,#REF!,10)*G89,IF(C89="Res Water Heating",VLOOKUP(K89,#REF!,12)*G89,IF(C89="Res Dishwasher",VLOOKUP(K89,#REF!,14)*G89,IF(C89="Res Washer Dryer",VLOOKUP(K89,#REF!,16)*G89,IF(C89="Res Misc",VLOOKUP(K89,#REF!,18)*G89,IF(C89="Res Furnace Fan",VLOOKUP(K89,#REF!,20)*G89,IF(C89="NonRes Compressed Air",VLOOKUP(K89,#REF!,22)*G89,IF(C89="NonRes Cooking",VLOOKUP(K89,#REF!,24)*G89,IF(C89="NonRes Space Cooling",VLOOKUP(K89,#REF!,26)*G89,IF(C89="NonRes Exterior Lighting",VLOOKUP(K89,#REF!,28)*G89,IF(C89="NonRes Space Heating",VLOOKUP(K89,#REF!,30)*G89,IF(C89="NonRes Water Heating",VLOOKUP(K89,#REF!,32)*G89,IF(C89="NonRes Interior Lighting",VLOOKUP(K89,#REF!,34)*G89,IF(C89="NonRes Misc",VLOOKUP(K89,#REF!,36)*G89,IF(C89="NonRes Motors",VLOOKUP(K89,#REF!,38)*G89,IF(C89="NonRes Office Equipment",VLOOKUP(K89,#REF!,40)*G89,IF(C89="NonRes Process",VLOOKUP(K89,#REF!,42)*G89,IF(C89="NonRes Refrigeration",VLOOKUP(K89,#REF!,44)*G89,IF(C89="NonRes Ventilation",VLOOKUP(K89,#REF!,46)*G89,0))))))))))))))))))))))</f>
        <v>0</v>
      </c>
      <c r="U89" s="18">
        <f>IF(D89="Annual",VLOOKUP(K89,#REF!,4)*'3.4 - Open'!I89,IF(D89="Winter",VLOOKUP('3.4 - Open'!K89,#REF!,5)*'3.4 - Open'!I89,IF(D89="NA",0,0)))</f>
        <v>0</v>
      </c>
      <c r="V89" s="19" t="e">
        <f t="shared" si="36"/>
        <v>#DIV/0!</v>
      </c>
      <c r="W89" s="19" t="e">
        <f t="shared" si="37"/>
        <v>#DIV/0!</v>
      </c>
      <c r="X89" s="19" t="e">
        <f t="shared" si="38"/>
        <v>#DIV/0!</v>
      </c>
      <c r="Y89" s="19" t="e">
        <f t="shared" si="39"/>
        <v>#DIV/0!</v>
      </c>
      <c r="Z89" s="20" t="e">
        <f>(T89+U89+(PV(#REF!,'3.4 - Open'!K89,'3.4 - Open'!P89)*-1)+'3.4 - Open'!O89)/'3.4 - Open'!E89</f>
        <v>#REF!</v>
      </c>
      <c r="AA89" s="20" t="e">
        <f t="shared" si="49"/>
        <v>#DIV/0!</v>
      </c>
      <c r="AB89" s="21">
        <f t="shared" si="40"/>
        <v>0</v>
      </c>
      <c r="AC89" s="20">
        <f t="shared" si="41"/>
        <v>0</v>
      </c>
      <c r="AD89" s="20">
        <f t="shared" si="42"/>
        <v>0</v>
      </c>
      <c r="AE89" s="20">
        <f t="shared" si="43"/>
        <v>0</v>
      </c>
      <c r="AF89" s="19" t="e">
        <f t="shared" si="44"/>
        <v>#DIV/0!</v>
      </c>
      <c r="AG89" s="19" t="e">
        <f t="shared" si="45"/>
        <v>#DIV/0!</v>
      </c>
      <c r="AH89" s="19" t="e">
        <f t="shared" si="46"/>
        <v>#DIV/0!</v>
      </c>
      <c r="AI89" s="19" t="e">
        <f t="shared" si="47"/>
        <v>#DIV/0!</v>
      </c>
      <c r="AJ89" s="15">
        <f t="shared" si="50"/>
        <v>0</v>
      </c>
      <c r="AK89" s="19" t="e">
        <f t="shared" si="51"/>
        <v>#DIV/0!</v>
      </c>
      <c r="AL89" s="19" t="e">
        <f t="shared" si="52"/>
        <v>#DIV/0!</v>
      </c>
      <c r="AM89" s="19">
        <f t="shared" si="48"/>
        <v>0</v>
      </c>
      <c r="AN89" s="19" t="e">
        <f t="shared" si="53"/>
        <v>#DIV/0!</v>
      </c>
      <c r="AO89" s="19" t="e">
        <f t="shared" si="54"/>
        <v>#DIV/0!</v>
      </c>
      <c r="AP89" s="18" t="e">
        <f>-PV(#REF!,'3.4 - Open'!K89,'3.4 - Open'!P89)*'3.4 - Open'!B89</f>
        <v>#REF!</v>
      </c>
      <c r="AQ89" s="19" t="e">
        <f t="shared" si="55"/>
        <v>#REF!</v>
      </c>
      <c r="AR89" s="19" t="e">
        <f t="shared" si="56"/>
        <v>#REF!</v>
      </c>
      <c r="AS89" s="18" t="e">
        <f>B89*G89*K89*#REF!</f>
        <v>#REF!</v>
      </c>
      <c r="AT89" s="19" t="e">
        <f>B89*I89*K89*#REF!</f>
        <v>#REF!</v>
      </c>
      <c r="AU89" s="24"/>
      <c r="AV89" s="24"/>
      <c r="AW89" s="24"/>
      <c r="AX89" s="24"/>
      <c r="AY89" s="24"/>
    </row>
    <row r="90" spans="1:51" x14ac:dyDescent="0.25">
      <c r="A90" s="14"/>
      <c r="B90" s="14"/>
      <c r="C90" s="14"/>
      <c r="D90" s="14" t="s">
        <v>24</v>
      </c>
      <c r="E90" s="15"/>
      <c r="F90" s="15"/>
      <c r="G90" s="14"/>
      <c r="H90" s="14"/>
      <c r="I90" s="14"/>
      <c r="J90" s="14"/>
      <c r="K90" s="14"/>
      <c r="L90" s="14"/>
      <c r="M90" s="15"/>
      <c r="N90" s="15"/>
      <c r="O90" s="15"/>
      <c r="P90" s="15"/>
      <c r="Q90" s="15"/>
      <c r="R90" s="15"/>
      <c r="S90" s="15"/>
      <c r="T90" s="18">
        <f>IF(C90="Res Space Heat",VLOOKUP(K90,#REF!,4)*G90,IF(C90="Res AC",VLOOKUP(K90,#REF!,6)*G90,IF(C90="Res Lighting",VLOOKUP(K90,#REF!,8)*G90,IF(C90="Res Refrigeration",VLOOKUP(K90,#REF!,10)*G90,IF(C90="Res Water Heating",VLOOKUP(K90,#REF!,12)*G90,IF(C90="Res Dishwasher",VLOOKUP(K90,#REF!,14)*G90,IF(C90="Res Washer Dryer",VLOOKUP(K90,#REF!,16)*G90,IF(C90="Res Misc",VLOOKUP(K90,#REF!,18)*G90,IF(C90="Res Furnace Fan",VLOOKUP(K90,#REF!,20)*G90,IF(C90="NonRes Compressed Air",VLOOKUP(K90,#REF!,22)*G90,IF(C90="NonRes Cooking",VLOOKUP(K90,#REF!,24)*G90,IF(C90="NonRes Space Cooling",VLOOKUP(K90,#REF!,26)*G90,IF(C90="NonRes Exterior Lighting",VLOOKUP(K90,#REF!,28)*G90,IF(C90="NonRes Space Heating",VLOOKUP(K90,#REF!,30)*G90,IF(C90="NonRes Water Heating",VLOOKUP(K90,#REF!,32)*G90,IF(C90="NonRes Interior Lighting",VLOOKUP(K90,#REF!,34)*G90,IF(C90="NonRes Misc",VLOOKUP(K90,#REF!,36)*G90,IF(C90="NonRes Motors",VLOOKUP(K90,#REF!,38)*G90,IF(C90="NonRes Office Equipment",VLOOKUP(K90,#REF!,40)*G90,IF(C90="NonRes Process",VLOOKUP(K90,#REF!,42)*G90,IF(C90="NonRes Refrigeration",VLOOKUP(K90,#REF!,44)*G90,IF(C90="NonRes Ventilation",VLOOKUP(K90,#REF!,46)*G90,0))))))))))))))))))))))</f>
        <v>0</v>
      </c>
      <c r="U90" s="18">
        <f>IF(D90="Annual",VLOOKUP(K90,#REF!,4)*'3.4 - Open'!I90,IF(D90="Winter",VLOOKUP('3.4 - Open'!K90,#REF!,5)*'3.4 - Open'!I90,IF(D90="NA",0,0)))</f>
        <v>0</v>
      </c>
      <c r="V90" s="19" t="e">
        <f t="shared" si="36"/>
        <v>#DIV/0!</v>
      </c>
      <c r="W90" s="19" t="e">
        <f t="shared" si="37"/>
        <v>#DIV/0!</v>
      </c>
      <c r="X90" s="19" t="e">
        <f t="shared" si="38"/>
        <v>#DIV/0!</v>
      </c>
      <c r="Y90" s="19" t="e">
        <f t="shared" si="39"/>
        <v>#DIV/0!</v>
      </c>
      <c r="Z90" s="20" t="e">
        <f>(T90+U90+(PV(#REF!,'3.4 - Open'!K90,'3.4 - Open'!P90)*-1)+'3.4 - Open'!O90)/'3.4 - Open'!E90</f>
        <v>#REF!</v>
      </c>
      <c r="AA90" s="20" t="e">
        <f t="shared" si="49"/>
        <v>#DIV/0!</v>
      </c>
      <c r="AB90" s="21">
        <f t="shared" si="40"/>
        <v>0</v>
      </c>
      <c r="AC90" s="20">
        <f t="shared" si="41"/>
        <v>0</v>
      </c>
      <c r="AD90" s="20">
        <f t="shared" si="42"/>
        <v>0</v>
      </c>
      <c r="AE90" s="20">
        <f t="shared" si="43"/>
        <v>0</v>
      </c>
      <c r="AF90" s="19" t="e">
        <f t="shared" si="44"/>
        <v>#DIV/0!</v>
      </c>
      <c r="AG90" s="19" t="e">
        <f t="shared" si="45"/>
        <v>#DIV/0!</v>
      </c>
      <c r="AH90" s="19" t="e">
        <f t="shared" si="46"/>
        <v>#DIV/0!</v>
      </c>
      <c r="AI90" s="19" t="e">
        <f t="shared" si="47"/>
        <v>#DIV/0!</v>
      </c>
      <c r="AJ90" s="15">
        <f t="shared" si="50"/>
        <v>0</v>
      </c>
      <c r="AK90" s="19" t="e">
        <f t="shared" si="51"/>
        <v>#DIV/0!</v>
      </c>
      <c r="AL90" s="19" t="e">
        <f t="shared" si="52"/>
        <v>#DIV/0!</v>
      </c>
      <c r="AM90" s="19">
        <f t="shared" si="48"/>
        <v>0</v>
      </c>
      <c r="AN90" s="19" t="e">
        <f t="shared" si="53"/>
        <v>#DIV/0!</v>
      </c>
      <c r="AO90" s="19" t="e">
        <f t="shared" si="54"/>
        <v>#DIV/0!</v>
      </c>
      <c r="AP90" s="18" t="e">
        <f>-PV(#REF!,'3.4 - Open'!K90,'3.4 - Open'!P90)*'3.4 - Open'!B90</f>
        <v>#REF!</v>
      </c>
      <c r="AQ90" s="19" t="e">
        <f t="shared" si="55"/>
        <v>#REF!</v>
      </c>
      <c r="AR90" s="19" t="e">
        <f t="shared" si="56"/>
        <v>#REF!</v>
      </c>
      <c r="AS90" s="18" t="e">
        <f>B90*G90*K90*#REF!</f>
        <v>#REF!</v>
      </c>
      <c r="AT90" s="19" t="e">
        <f>B90*I90*K90*#REF!</f>
        <v>#REF!</v>
      </c>
      <c r="AU90" s="24"/>
      <c r="AV90" s="24"/>
      <c r="AW90" s="24"/>
      <c r="AX90" s="24"/>
      <c r="AY90" s="24"/>
    </row>
    <row r="91" spans="1:51" x14ac:dyDescent="0.25">
      <c r="A91" s="14"/>
      <c r="B91" s="14"/>
      <c r="C91" s="14"/>
      <c r="D91" s="14" t="s">
        <v>24</v>
      </c>
      <c r="E91" s="15"/>
      <c r="F91" s="15"/>
      <c r="G91" s="14"/>
      <c r="H91" s="14"/>
      <c r="I91" s="14"/>
      <c r="J91" s="14"/>
      <c r="K91" s="14"/>
      <c r="L91" s="14"/>
      <c r="M91" s="15"/>
      <c r="N91" s="15"/>
      <c r="O91" s="15"/>
      <c r="P91" s="15"/>
      <c r="Q91" s="15"/>
      <c r="R91" s="15"/>
      <c r="S91" s="15"/>
      <c r="T91" s="18">
        <f>IF(C91="Res Space Heat",VLOOKUP(K91,#REF!,4)*G91,IF(C91="Res AC",VLOOKUP(K91,#REF!,6)*G91,IF(C91="Res Lighting",VLOOKUP(K91,#REF!,8)*G91,IF(C91="Res Refrigeration",VLOOKUP(K91,#REF!,10)*G91,IF(C91="Res Water Heating",VLOOKUP(K91,#REF!,12)*G91,IF(C91="Res Dishwasher",VLOOKUP(K91,#REF!,14)*G91,IF(C91="Res Washer Dryer",VLOOKUP(K91,#REF!,16)*G91,IF(C91="Res Misc",VLOOKUP(K91,#REF!,18)*G91,IF(C91="Res Furnace Fan",VLOOKUP(K91,#REF!,20)*G91,IF(C91="NonRes Compressed Air",VLOOKUP(K91,#REF!,22)*G91,IF(C91="NonRes Cooking",VLOOKUP(K91,#REF!,24)*G91,IF(C91="NonRes Space Cooling",VLOOKUP(K91,#REF!,26)*G91,IF(C91="NonRes Exterior Lighting",VLOOKUP(K91,#REF!,28)*G91,IF(C91="NonRes Space Heating",VLOOKUP(K91,#REF!,30)*G91,IF(C91="NonRes Water Heating",VLOOKUP(K91,#REF!,32)*G91,IF(C91="NonRes Interior Lighting",VLOOKUP(K91,#REF!,34)*G91,IF(C91="NonRes Misc",VLOOKUP(K91,#REF!,36)*G91,IF(C91="NonRes Motors",VLOOKUP(K91,#REF!,38)*G91,IF(C91="NonRes Office Equipment",VLOOKUP(K91,#REF!,40)*G91,IF(C91="NonRes Process",VLOOKUP(K91,#REF!,42)*G91,IF(C91="NonRes Refrigeration",VLOOKUP(K91,#REF!,44)*G91,IF(C91="NonRes Ventilation",VLOOKUP(K91,#REF!,46)*G91,0))))))))))))))))))))))</f>
        <v>0</v>
      </c>
      <c r="U91" s="18">
        <f>IF(D91="Annual",VLOOKUP(K91,#REF!,4)*'3.4 - Open'!I91,IF(D91="Winter",VLOOKUP('3.4 - Open'!K91,#REF!,5)*'3.4 - Open'!I91,IF(D91="NA",0,0)))</f>
        <v>0</v>
      </c>
      <c r="V91" s="19" t="e">
        <f t="shared" si="36"/>
        <v>#DIV/0!</v>
      </c>
      <c r="W91" s="19" t="e">
        <f t="shared" si="37"/>
        <v>#DIV/0!</v>
      </c>
      <c r="X91" s="19" t="e">
        <f t="shared" si="38"/>
        <v>#DIV/0!</v>
      </c>
      <c r="Y91" s="19" t="e">
        <f t="shared" si="39"/>
        <v>#DIV/0!</v>
      </c>
      <c r="Z91" s="20" t="e">
        <f>(T91+U91+(PV(#REF!,'3.4 - Open'!K91,'3.4 - Open'!P91)*-1)+'3.4 - Open'!O91)/'3.4 - Open'!E91</f>
        <v>#REF!</v>
      </c>
      <c r="AA91" s="20" t="e">
        <f t="shared" si="49"/>
        <v>#DIV/0!</v>
      </c>
      <c r="AB91" s="21">
        <f t="shared" si="40"/>
        <v>0</v>
      </c>
      <c r="AC91" s="20">
        <f t="shared" si="41"/>
        <v>0</v>
      </c>
      <c r="AD91" s="20">
        <f t="shared" si="42"/>
        <v>0</v>
      </c>
      <c r="AE91" s="20">
        <f t="shared" si="43"/>
        <v>0</v>
      </c>
      <c r="AF91" s="19" t="e">
        <f t="shared" si="44"/>
        <v>#DIV/0!</v>
      </c>
      <c r="AG91" s="19" t="e">
        <f t="shared" si="45"/>
        <v>#DIV/0!</v>
      </c>
      <c r="AH91" s="19" t="e">
        <f t="shared" si="46"/>
        <v>#DIV/0!</v>
      </c>
      <c r="AI91" s="19" t="e">
        <f t="shared" si="47"/>
        <v>#DIV/0!</v>
      </c>
      <c r="AJ91" s="15">
        <f t="shared" si="50"/>
        <v>0</v>
      </c>
      <c r="AK91" s="19" t="e">
        <f t="shared" si="51"/>
        <v>#DIV/0!</v>
      </c>
      <c r="AL91" s="19" t="e">
        <f t="shared" si="52"/>
        <v>#DIV/0!</v>
      </c>
      <c r="AM91" s="19">
        <f t="shared" si="48"/>
        <v>0</v>
      </c>
      <c r="AN91" s="19" t="e">
        <f t="shared" si="53"/>
        <v>#DIV/0!</v>
      </c>
      <c r="AO91" s="19" t="e">
        <f t="shared" si="54"/>
        <v>#DIV/0!</v>
      </c>
      <c r="AP91" s="18" t="e">
        <f>-PV(#REF!,'3.4 - Open'!K91,'3.4 - Open'!P91)*'3.4 - Open'!B91</f>
        <v>#REF!</v>
      </c>
      <c r="AQ91" s="19" t="e">
        <f t="shared" si="55"/>
        <v>#REF!</v>
      </c>
      <c r="AR91" s="19" t="e">
        <f t="shared" si="56"/>
        <v>#REF!</v>
      </c>
      <c r="AS91" s="18" t="e">
        <f>B91*G91*K91*#REF!</f>
        <v>#REF!</v>
      </c>
      <c r="AT91" s="19" t="e">
        <f>B91*I91*K91*#REF!</f>
        <v>#REF!</v>
      </c>
      <c r="AU91" s="24"/>
      <c r="AV91" s="24"/>
      <c r="AW91" s="24"/>
      <c r="AX91" s="24"/>
      <c r="AY91" s="24"/>
    </row>
    <row r="92" spans="1:51" x14ac:dyDescent="0.25">
      <c r="A92" s="14"/>
      <c r="B92" s="14"/>
      <c r="C92" s="14"/>
      <c r="D92" s="14" t="s">
        <v>24</v>
      </c>
      <c r="E92" s="15"/>
      <c r="F92" s="15"/>
      <c r="G92" s="14"/>
      <c r="H92" s="14"/>
      <c r="I92" s="14"/>
      <c r="J92" s="14"/>
      <c r="K92" s="14"/>
      <c r="L92" s="14"/>
      <c r="M92" s="15"/>
      <c r="N92" s="15"/>
      <c r="O92" s="15"/>
      <c r="P92" s="15"/>
      <c r="Q92" s="15"/>
      <c r="R92" s="15"/>
      <c r="S92" s="15"/>
      <c r="T92" s="18">
        <f>IF(C92="Res Space Heat",VLOOKUP(K92,#REF!,4)*G92,IF(C92="Res AC",VLOOKUP(K92,#REF!,6)*G92,IF(C92="Res Lighting",VLOOKUP(K92,#REF!,8)*G92,IF(C92="Res Refrigeration",VLOOKUP(K92,#REF!,10)*G92,IF(C92="Res Water Heating",VLOOKUP(K92,#REF!,12)*G92,IF(C92="Res Dishwasher",VLOOKUP(K92,#REF!,14)*G92,IF(C92="Res Washer Dryer",VLOOKUP(K92,#REF!,16)*G92,IF(C92="Res Misc",VLOOKUP(K92,#REF!,18)*G92,IF(C92="Res Furnace Fan",VLOOKUP(K92,#REF!,20)*G92,IF(C92="NonRes Compressed Air",VLOOKUP(K92,#REF!,22)*G92,IF(C92="NonRes Cooking",VLOOKUP(K92,#REF!,24)*G92,IF(C92="NonRes Space Cooling",VLOOKUP(K92,#REF!,26)*G92,IF(C92="NonRes Exterior Lighting",VLOOKUP(K92,#REF!,28)*G92,IF(C92="NonRes Space Heating",VLOOKUP(K92,#REF!,30)*G92,IF(C92="NonRes Water Heating",VLOOKUP(K92,#REF!,32)*G92,IF(C92="NonRes Interior Lighting",VLOOKUP(K92,#REF!,34)*G92,IF(C92="NonRes Misc",VLOOKUP(K92,#REF!,36)*G92,IF(C92="NonRes Motors",VLOOKUP(K92,#REF!,38)*G92,IF(C92="NonRes Office Equipment",VLOOKUP(K92,#REF!,40)*G92,IF(C92="NonRes Process",VLOOKUP(K92,#REF!,42)*G92,IF(C92="NonRes Refrigeration",VLOOKUP(K92,#REF!,44)*G92,IF(C92="NonRes Ventilation",VLOOKUP(K92,#REF!,46)*G92,0))))))))))))))))))))))</f>
        <v>0</v>
      </c>
      <c r="U92" s="18">
        <f>IF(D92="Annual",VLOOKUP(K92,#REF!,4)*'3.4 - Open'!I92,IF(D92="Winter",VLOOKUP('3.4 - Open'!K92,#REF!,5)*'3.4 - Open'!I92,IF(D92="NA",0,0)))</f>
        <v>0</v>
      </c>
      <c r="V92" s="19" t="e">
        <f t="shared" si="36"/>
        <v>#DIV/0!</v>
      </c>
      <c r="W92" s="19" t="e">
        <f t="shared" si="37"/>
        <v>#DIV/0!</v>
      </c>
      <c r="X92" s="19" t="e">
        <f t="shared" si="38"/>
        <v>#DIV/0!</v>
      </c>
      <c r="Y92" s="19" t="e">
        <f t="shared" si="39"/>
        <v>#DIV/0!</v>
      </c>
      <c r="Z92" s="20" t="e">
        <f>(T92+U92+(PV(#REF!,'3.4 - Open'!K92,'3.4 - Open'!P92)*-1)+'3.4 - Open'!O92)/'3.4 - Open'!E92</f>
        <v>#REF!</v>
      </c>
      <c r="AA92" s="20" t="e">
        <f t="shared" si="49"/>
        <v>#DIV/0!</v>
      </c>
      <c r="AB92" s="21">
        <f t="shared" si="40"/>
        <v>0</v>
      </c>
      <c r="AC92" s="20">
        <f t="shared" si="41"/>
        <v>0</v>
      </c>
      <c r="AD92" s="20">
        <f t="shared" si="42"/>
        <v>0</v>
      </c>
      <c r="AE92" s="20">
        <f t="shared" si="43"/>
        <v>0</v>
      </c>
      <c r="AF92" s="19" t="e">
        <f t="shared" si="44"/>
        <v>#DIV/0!</v>
      </c>
      <c r="AG92" s="19" t="e">
        <f t="shared" si="45"/>
        <v>#DIV/0!</v>
      </c>
      <c r="AH92" s="19" t="e">
        <f t="shared" si="46"/>
        <v>#DIV/0!</v>
      </c>
      <c r="AI92" s="19" t="e">
        <f t="shared" si="47"/>
        <v>#DIV/0!</v>
      </c>
      <c r="AJ92" s="15">
        <f t="shared" si="50"/>
        <v>0</v>
      </c>
      <c r="AK92" s="19" t="e">
        <f t="shared" si="51"/>
        <v>#DIV/0!</v>
      </c>
      <c r="AL92" s="19" t="e">
        <f t="shared" si="52"/>
        <v>#DIV/0!</v>
      </c>
      <c r="AM92" s="19">
        <f t="shared" si="48"/>
        <v>0</v>
      </c>
      <c r="AN92" s="19" t="e">
        <f t="shared" si="53"/>
        <v>#DIV/0!</v>
      </c>
      <c r="AO92" s="19" t="e">
        <f t="shared" si="54"/>
        <v>#DIV/0!</v>
      </c>
      <c r="AP92" s="18" t="e">
        <f>-PV(#REF!,'3.4 - Open'!K92,'3.4 - Open'!P92)*'3.4 - Open'!B92</f>
        <v>#REF!</v>
      </c>
      <c r="AQ92" s="19" t="e">
        <f t="shared" si="55"/>
        <v>#REF!</v>
      </c>
      <c r="AR92" s="19" t="e">
        <f t="shared" si="56"/>
        <v>#REF!</v>
      </c>
      <c r="AS92" s="18" t="e">
        <f>B92*G92*K92*#REF!</f>
        <v>#REF!</v>
      </c>
      <c r="AT92" s="19" t="e">
        <f>B92*I92*K92*#REF!</f>
        <v>#REF!</v>
      </c>
      <c r="AU92" s="24"/>
      <c r="AV92" s="24"/>
      <c r="AW92" s="24"/>
      <c r="AX92" s="24"/>
      <c r="AY92" s="24"/>
    </row>
    <row r="93" spans="1:51" x14ac:dyDescent="0.25">
      <c r="A93" s="14"/>
      <c r="B93" s="14"/>
      <c r="C93" s="14"/>
      <c r="D93" s="14" t="s">
        <v>24</v>
      </c>
      <c r="E93" s="15"/>
      <c r="F93" s="15"/>
      <c r="G93" s="14"/>
      <c r="H93" s="14"/>
      <c r="I93" s="14"/>
      <c r="J93" s="14"/>
      <c r="K93" s="14"/>
      <c r="L93" s="14"/>
      <c r="M93" s="15"/>
      <c r="N93" s="15"/>
      <c r="O93" s="15"/>
      <c r="P93" s="15"/>
      <c r="Q93" s="15"/>
      <c r="R93" s="15"/>
      <c r="S93" s="15"/>
      <c r="T93" s="18">
        <f>IF(C93="Res Space Heat",VLOOKUP(K93,#REF!,4)*G93,IF(C93="Res AC",VLOOKUP(K93,#REF!,6)*G93,IF(C93="Res Lighting",VLOOKUP(K93,#REF!,8)*G93,IF(C93="Res Refrigeration",VLOOKUP(K93,#REF!,10)*G93,IF(C93="Res Water Heating",VLOOKUP(K93,#REF!,12)*G93,IF(C93="Res Dishwasher",VLOOKUP(K93,#REF!,14)*G93,IF(C93="Res Washer Dryer",VLOOKUP(K93,#REF!,16)*G93,IF(C93="Res Misc",VLOOKUP(K93,#REF!,18)*G93,IF(C93="Res Furnace Fan",VLOOKUP(K93,#REF!,20)*G93,IF(C93="NonRes Compressed Air",VLOOKUP(K93,#REF!,22)*G93,IF(C93="NonRes Cooking",VLOOKUP(K93,#REF!,24)*G93,IF(C93="NonRes Space Cooling",VLOOKUP(K93,#REF!,26)*G93,IF(C93="NonRes Exterior Lighting",VLOOKUP(K93,#REF!,28)*G93,IF(C93="NonRes Space Heating",VLOOKUP(K93,#REF!,30)*G93,IF(C93="NonRes Water Heating",VLOOKUP(K93,#REF!,32)*G93,IF(C93="NonRes Interior Lighting",VLOOKUP(K93,#REF!,34)*G93,IF(C93="NonRes Misc",VLOOKUP(K93,#REF!,36)*G93,IF(C93="NonRes Motors",VLOOKUP(K93,#REF!,38)*G93,IF(C93="NonRes Office Equipment",VLOOKUP(K93,#REF!,40)*G93,IF(C93="NonRes Process",VLOOKUP(K93,#REF!,42)*G93,IF(C93="NonRes Refrigeration",VLOOKUP(K93,#REF!,44)*G93,IF(C93="NonRes Ventilation",VLOOKUP(K93,#REF!,46)*G93,0))))))))))))))))))))))</f>
        <v>0</v>
      </c>
      <c r="U93" s="18">
        <f>IF(D93="Annual",VLOOKUP(K93,#REF!,4)*'3.4 - Open'!I93,IF(D93="Winter",VLOOKUP('3.4 - Open'!K93,#REF!,5)*'3.4 - Open'!I93,IF(D93="NA",0,0)))</f>
        <v>0</v>
      </c>
      <c r="V93" s="19" t="e">
        <f t="shared" si="36"/>
        <v>#DIV/0!</v>
      </c>
      <c r="W93" s="19" t="e">
        <f t="shared" si="37"/>
        <v>#DIV/0!</v>
      </c>
      <c r="X93" s="19" t="e">
        <f t="shared" si="38"/>
        <v>#DIV/0!</v>
      </c>
      <c r="Y93" s="19" t="e">
        <f t="shared" si="39"/>
        <v>#DIV/0!</v>
      </c>
      <c r="Z93" s="20" t="e">
        <f>(T93+U93+(PV(#REF!,'3.4 - Open'!K93,'3.4 - Open'!P93)*-1)+'3.4 - Open'!O93)/'3.4 - Open'!E93</f>
        <v>#REF!</v>
      </c>
      <c r="AA93" s="20" t="e">
        <f t="shared" si="49"/>
        <v>#DIV/0!</v>
      </c>
      <c r="AB93" s="21">
        <f t="shared" si="40"/>
        <v>0</v>
      </c>
      <c r="AC93" s="20">
        <f t="shared" si="41"/>
        <v>0</v>
      </c>
      <c r="AD93" s="20">
        <f t="shared" si="42"/>
        <v>0</v>
      </c>
      <c r="AE93" s="20">
        <f t="shared" si="43"/>
        <v>0</v>
      </c>
      <c r="AF93" s="19" t="e">
        <f t="shared" si="44"/>
        <v>#DIV/0!</v>
      </c>
      <c r="AG93" s="19" t="e">
        <f t="shared" si="45"/>
        <v>#DIV/0!</v>
      </c>
      <c r="AH93" s="19" t="e">
        <f t="shared" si="46"/>
        <v>#DIV/0!</v>
      </c>
      <c r="AI93" s="19" t="e">
        <f t="shared" si="47"/>
        <v>#DIV/0!</v>
      </c>
      <c r="AJ93" s="15">
        <f t="shared" si="50"/>
        <v>0</v>
      </c>
      <c r="AK93" s="19" t="e">
        <f t="shared" si="51"/>
        <v>#DIV/0!</v>
      </c>
      <c r="AL93" s="19" t="e">
        <f t="shared" si="52"/>
        <v>#DIV/0!</v>
      </c>
      <c r="AM93" s="19">
        <f t="shared" si="48"/>
        <v>0</v>
      </c>
      <c r="AN93" s="19" t="e">
        <f t="shared" si="53"/>
        <v>#DIV/0!</v>
      </c>
      <c r="AO93" s="19" t="e">
        <f t="shared" si="54"/>
        <v>#DIV/0!</v>
      </c>
      <c r="AP93" s="18" t="e">
        <f>-PV(#REF!,'3.4 - Open'!K93,'3.4 - Open'!P93)*'3.4 - Open'!B93</f>
        <v>#REF!</v>
      </c>
      <c r="AQ93" s="19" t="e">
        <f t="shared" si="55"/>
        <v>#REF!</v>
      </c>
      <c r="AR93" s="19" t="e">
        <f t="shared" si="56"/>
        <v>#REF!</v>
      </c>
      <c r="AS93" s="18" t="e">
        <f>B93*G93*K93*#REF!</f>
        <v>#REF!</v>
      </c>
      <c r="AT93" s="19" t="e">
        <f>B93*I93*K93*#REF!</f>
        <v>#REF!</v>
      </c>
      <c r="AU93" s="24"/>
      <c r="AV93" s="24"/>
      <c r="AW93" s="24"/>
      <c r="AX93" s="24"/>
      <c r="AY93" s="24"/>
    </row>
    <row r="94" spans="1:51" x14ac:dyDescent="0.25">
      <c r="A94" s="14"/>
      <c r="B94" s="14"/>
      <c r="C94" s="14"/>
      <c r="D94" s="14" t="s">
        <v>24</v>
      </c>
      <c r="E94" s="15"/>
      <c r="F94" s="15"/>
      <c r="G94" s="14"/>
      <c r="H94" s="14"/>
      <c r="I94" s="14"/>
      <c r="J94" s="14"/>
      <c r="K94" s="14"/>
      <c r="L94" s="14"/>
      <c r="M94" s="15"/>
      <c r="N94" s="15"/>
      <c r="O94" s="15"/>
      <c r="P94" s="15"/>
      <c r="Q94" s="15"/>
      <c r="R94" s="15"/>
      <c r="S94" s="15"/>
      <c r="T94" s="18">
        <f>IF(C94="Res Space Heat",VLOOKUP(K94,#REF!,4)*G94,IF(C94="Res AC",VLOOKUP(K94,#REF!,6)*G94,IF(C94="Res Lighting",VLOOKUP(K94,#REF!,8)*G94,IF(C94="Res Refrigeration",VLOOKUP(K94,#REF!,10)*G94,IF(C94="Res Water Heating",VLOOKUP(K94,#REF!,12)*G94,IF(C94="Res Dishwasher",VLOOKUP(K94,#REF!,14)*G94,IF(C94="Res Washer Dryer",VLOOKUP(K94,#REF!,16)*G94,IF(C94="Res Misc",VLOOKUP(K94,#REF!,18)*G94,IF(C94="Res Furnace Fan",VLOOKUP(K94,#REF!,20)*G94,IF(C94="NonRes Compressed Air",VLOOKUP(K94,#REF!,22)*G94,IF(C94="NonRes Cooking",VLOOKUP(K94,#REF!,24)*G94,IF(C94="NonRes Space Cooling",VLOOKUP(K94,#REF!,26)*G94,IF(C94="NonRes Exterior Lighting",VLOOKUP(K94,#REF!,28)*G94,IF(C94="NonRes Space Heating",VLOOKUP(K94,#REF!,30)*G94,IF(C94="NonRes Water Heating",VLOOKUP(K94,#REF!,32)*G94,IF(C94="NonRes Interior Lighting",VLOOKUP(K94,#REF!,34)*G94,IF(C94="NonRes Misc",VLOOKUP(K94,#REF!,36)*G94,IF(C94="NonRes Motors",VLOOKUP(K94,#REF!,38)*G94,IF(C94="NonRes Office Equipment",VLOOKUP(K94,#REF!,40)*G94,IF(C94="NonRes Process",VLOOKUP(K94,#REF!,42)*G94,IF(C94="NonRes Refrigeration",VLOOKUP(K94,#REF!,44)*G94,IF(C94="NonRes Ventilation",VLOOKUP(K94,#REF!,46)*G94,0))))))))))))))))))))))</f>
        <v>0</v>
      </c>
      <c r="U94" s="18">
        <f>IF(D94="Annual",VLOOKUP(K94,#REF!,4)*'3.4 - Open'!I94,IF(D94="Winter",VLOOKUP('3.4 - Open'!K94,#REF!,5)*'3.4 - Open'!I94,IF(D94="NA",0,0)))</f>
        <v>0</v>
      </c>
      <c r="V94" s="19" t="e">
        <f t="shared" si="36"/>
        <v>#DIV/0!</v>
      </c>
      <c r="W94" s="19" t="e">
        <f t="shared" si="37"/>
        <v>#DIV/0!</v>
      </c>
      <c r="X94" s="19" t="e">
        <f t="shared" si="38"/>
        <v>#DIV/0!</v>
      </c>
      <c r="Y94" s="19" t="e">
        <f t="shared" si="39"/>
        <v>#DIV/0!</v>
      </c>
      <c r="Z94" s="20" t="e">
        <f>(T94+U94+(PV(#REF!,'3.4 - Open'!K94,'3.4 - Open'!P94)*-1)+'3.4 - Open'!O94)/'3.4 - Open'!E94</f>
        <v>#REF!</v>
      </c>
      <c r="AA94" s="20" t="e">
        <f t="shared" si="49"/>
        <v>#DIV/0!</v>
      </c>
      <c r="AB94" s="21">
        <f t="shared" si="40"/>
        <v>0</v>
      </c>
      <c r="AC94" s="20">
        <f t="shared" si="41"/>
        <v>0</v>
      </c>
      <c r="AD94" s="20">
        <f t="shared" si="42"/>
        <v>0</v>
      </c>
      <c r="AE94" s="20">
        <f t="shared" si="43"/>
        <v>0</v>
      </c>
      <c r="AF94" s="19" t="e">
        <f t="shared" si="44"/>
        <v>#DIV/0!</v>
      </c>
      <c r="AG94" s="19" t="e">
        <f t="shared" si="45"/>
        <v>#DIV/0!</v>
      </c>
      <c r="AH94" s="19" t="e">
        <f t="shared" si="46"/>
        <v>#DIV/0!</v>
      </c>
      <c r="AI94" s="19" t="e">
        <f t="shared" si="47"/>
        <v>#DIV/0!</v>
      </c>
      <c r="AJ94" s="15">
        <f t="shared" si="50"/>
        <v>0</v>
      </c>
      <c r="AK94" s="19" t="e">
        <f t="shared" si="51"/>
        <v>#DIV/0!</v>
      </c>
      <c r="AL94" s="19" t="e">
        <f t="shared" si="52"/>
        <v>#DIV/0!</v>
      </c>
      <c r="AM94" s="19">
        <f t="shared" si="48"/>
        <v>0</v>
      </c>
      <c r="AN94" s="19" t="e">
        <f t="shared" si="53"/>
        <v>#DIV/0!</v>
      </c>
      <c r="AO94" s="19" t="e">
        <f t="shared" si="54"/>
        <v>#DIV/0!</v>
      </c>
      <c r="AP94" s="18" t="e">
        <f>-PV(#REF!,'3.4 - Open'!K94,'3.4 - Open'!P94)*'3.4 - Open'!B94</f>
        <v>#REF!</v>
      </c>
      <c r="AQ94" s="19" t="e">
        <f t="shared" si="55"/>
        <v>#REF!</v>
      </c>
      <c r="AR94" s="19" t="e">
        <f t="shared" si="56"/>
        <v>#REF!</v>
      </c>
      <c r="AS94" s="18" t="e">
        <f>B94*G94*K94*#REF!</f>
        <v>#REF!</v>
      </c>
      <c r="AT94" s="19" t="e">
        <f>B94*I94*K94*#REF!</f>
        <v>#REF!</v>
      </c>
      <c r="AU94" s="24"/>
      <c r="AV94" s="24"/>
      <c r="AW94" s="24"/>
      <c r="AX94" s="24"/>
      <c r="AY94" s="24"/>
    </row>
    <row r="95" spans="1:51" x14ac:dyDescent="0.25">
      <c r="A95" s="14"/>
      <c r="B95" s="14"/>
      <c r="C95" s="14"/>
      <c r="D95" s="14" t="s">
        <v>24</v>
      </c>
      <c r="E95" s="15"/>
      <c r="F95" s="15"/>
      <c r="G95" s="14"/>
      <c r="H95" s="14"/>
      <c r="I95" s="14"/>
      <c r="J95" s="14"/>
      <c r="K95" s="14"/>
      <c r="L95" s="14"/>
      <c r="M95" s="15"/>
      <c r="N95" s="15"/>
      <c r="O95" s="15"/>
      <c r="P95" s="15"/>
      <c r="Q95" s="15"/>
      <c r="R95" s="15"/>
      <c r="S95" s="15"/>
      <c r="T95" s="18">
        <f>IF(C95="Res Space Heat",VLOOKUP(K95,#REF!,4)*G95,IF(C95="Res AC",VLOOKUP(K95,#REF!,6)*G95,IF(C95="Res Lighting",VLOOKUP(K95,#REF!,8)*G95,IF(C95="Res Refrigeration",VLOOKUP(K95,#REF!,10)*G95,IF(C95="Res Water Heating",VLOOKUP(K95,#REF!,12)*G95,IF(C95="Res Dishwasher",VLOOKUP(K95,#REF!,14)*G95,IF(C95="Res Washer Dryer",VLOOKUP(K95,#REF!,16)*G95,IF(C95="Res Misc",VLOOKUP(K95,#REF!,18)*G95,IF(C95="Res Furnace Fan",VLOOKUP(K95,#REF!,20)*G95,IF(C95="NonRes Compressed Air",VLOOKUP(K95,#REF!,22)*G95,IF(C95="NonRes Cooking",VLOOKUP(K95,#REF!,24)*G95,IF(C95="NonRes Space Cooling",VLOOKUP(K95,#REF!,26)*G95,IF(C95="NonRes Exterior Lighting",VLOOKUP(K95,#REF!,28)*G95,IF(C95="NonRes Space Heating",VLOOKUP(K95,#REF!,30)*G95,IF(C95="NonRes Water Heating",VLOOKUP(K95,#REF!,32)*G95,IF(C95="NonRes Interior Lighting",VLOOKUP(K95,#REF!,34)*G95,IF(C95="NonRes Misc",VLOOKUP(K95,#REF!,36)*G95,IF(C95="NonRes Motors",VLOOKUP(K95,#REF!,38)*G95,IF(C95="NonRes Office Equipment",VLOOKUP(K95,#REF!,40)*G95,IF(C95="NonRes Process",VLOOKUP(K95,#REF!,42)*G95,IF(C95="NonRes Refrigeration",VLOOKUP(K95,#REF!,44)*G95,IF(C95="NonRes Ventilation",VLOOKUP(K95,#REF!,46)*G95,0))))))))))))))))))))))</f>
        <v>0</v>
      </c>
      <c r="U95" s="18">
        <f>IF(D95="Annual",VLOOKUP(K95,#REF!,4)*'3.4 - Open'!I95,IF(D95="Winter",VLOOKUP('3.4 - Open'!K95,#REF!,5)*'3.4 - Open'!I95,IF(D95="NA",0,0)))</f>
        <v>0</v>
      </c>
      <c r="V95" s="19" t="e">
        <f t="shared" si="36"/>
        <v>#DIV/0!</v>
      </c>
      <c r="W95" s="19" t="e">
        <f t="shared" si="37"/>
        <v>#DIV/0!</v>
      </c>
      <c r="X95" s="19" t="e">
        <f t="shared" si="38"/>
        <v>#DIV/0!</v>
      </c>
      <c r="Y95" s="19" t="e">
        <f t="shared" si="39"/>
        <v>#DIV/0!</v>
      </c>
      <c r="Z95" s="20" t="e">
        <f>(T95+U95+(PV(#REF!,'3.4 - Open'!K95,'3.4 - Open'!P95)*-1)+'3.4 - Open'!O95)/'3.4 - Open'!E95</f>
        <v>#REF!</v>
      </c>
      <c r="AA95" s="20" t="e">
        <f t="shared" si="49"/>
        <v>#DIV/0!</v>
      </c>
      <c r="AB95" s="21">
        <f t="shared" si="40"/>
        <v>0</v>
      </c>
      <c r="AC95" s="20">
        <f t="shared" si="41"/>
        <v>0</v>
      </c>
      <c r="AD95" s="20">
        <f t="shared" si="42"/>
        <v>0</v>
      </c>
      <c r="AE95" s="20">
        <f t="shared" si="43"/>
        <v>0</v>
      </c>
      <c r="AF95" s="19" t="e">
        <f t="shared" si="44"/>
        <v>#DIV/0!</v>
      </c>
      <c r="AG95" s="19" t="e">
        <f t="shared" si="45"/>
        <v>#DIV/0!</v>
      </c>
      <c r="AH95" s="19" t="e">
        <f t="shared" si="46"/>
        <v>#DIV/0!</v>
      </c>
      <c r="AI95" s="19" t="e">
        <f t="shared" si="47"/>
        <v>#DIV/0!</v>
      </c>
      <c r="AJ95" s="15">
        <f t="shared" si="50"/>
        <v>0</v>
      </c>
      <c r="AK95" s="19" t="e">
        <f t="shared" si="51"/>
        <v>#DIV/0!</v>
      </c>
      <c r="AL95" s="19" t="e">
        <f t="shared" si="52"/>
        <v>#DIV/0!</v>
      </c>
      <c r="AM95" s="19">
        <f t="shared" si="48"/>
        <v>0</v>
      </c>
      <c r="AN95" s="19" t="e">
        <f t="shared" si="53"/>
        <v>#DIV/0!</v>
      </c>
      <c r="AO95" s="19" t="e">
        <f t="shared" si="54"/>
        <v>#DIV/0!</v>
      </c>
      <c r="AP95" s="18" t="e">
        <f>-PV(#REF!,'3.4 - Open'!K95,'3.4 - Open'!P95)*'3.4 - Open'!B95</f>
        <v>#REF!</v>
      </c>
      <c r="AQ95" s="19" t="e">
        <f t="shared" si="55"/>
        <v>#REF!</v>
      </c>
      <c r="AR95" s="19" t="e">
        <f t="shared" si="56"/>
        <v>#REF!</v>
      </c>
      <c r="AS95" s="18" t="e">
        <f>B95*G95*K95*#REF!</f>
        <v>#REF!</v>
      </c>
      <c r="AT95" s="19" t="e">
        <f>B95*I95*K95*#REF!</f>
        <v>#REF!</v>
      </c>
      <c r="AU95" s="24"/>
      <c r="AV95" s="24"/>
      <c r="AW95" s="24"/>
      <c r="AX95" s="24"/>
      <c r="AY95" s="24"/>
    </row>
    <row r="96" spans="1:51" x14ac:dyDescent="0.25">
      <c r="A96" s="14"/>
      <c r="B96" s="14"/>
      <c r="C96" s="14"/>
      <c r="D96" s="14" t="s">
        <v>24</v>
      </c>
      <c r="E96" s="15"/>
      <c r="F96" s="15"/>
      <c r="G96" s="14"/>
      <c r="H96" s="14"/>
      <c r="I96" s="14"/>
      <c r="J96" s="14"/>
      <c r="K96" s="14"/>
      <c r="L96" s="14"/>
      <c r="M96" s="15"/>
      <c r="N96" s="15"/>
      <c r="O96" s="15"/>
      <c r="P96" s="15"/>
      <c r="Q96" s="15"/>
      <c r="R96" s="15"/>
      <c r="S96" s="15"/>
      <c r="T96" s="18">
        <f>IF(C96="Res Space Heat",VLOOKUP(K96,#REF!,4)*G96,IF(C96="Res AC",VLOOKUP(K96,#REF!,6)*G96,IF(C96="Res Lighting",VLOOKUP(K96,#REF!,8)*G96,IF(C96="Res Refrigeration",VLOOKUP(K96,#REF!,10)*G96,IF(C96="Res Water Heating",VLOOKUP(K96,#REF!,12)*G96,IF(C96="Res Dishwasher",VLOOKUP(K96,#REF!,14)*G96,IF(C96="Res Washer Dryer",VLOOKUP(K96,#REF!,16)*G96,IF(C96="Res Misc",VLOOKUP(K96,#REF!,18)*G96,IF(C96="Res Furnace Fan",VLOOKUP(K96,#REF!,20)*G96,IF(C96="NonRes Compressed Air",VLOOKUP(K96,#REF!,22)*G96,IF(C96="NonRes Cooking",VLOOKUP(K96,#REF!,24)*G96,IF(C96="NonRes Space Cooling",VLOOKUP(K96,#REF!,26)*G96,IF(C96="NonRes Exterior Lighting",VLOOKUP(K96,#REF!,28)*G96,IF(C96="NonRes Space Heating",VLOOKUP(K96,#REF!,30)*G96,IF(C96="NonRes Water Heating",VLOOKUP(K96,#REF!,32)*G96,IF(C96="NonRes Interior Lighting",VLOOKUP(K96,#REF!,34)*G96,IF(C96="NonRes Misc",VLOOKUP(K96,#REF!,36)*G96,IF(C96="NonRes Motors",VLOOKUP(K96,#REF!,38)*G96,IF(C96="NonRes Office Equipment",VLOOKUP(K96,#REF!,40)*G96,IF(C96="NonRes Process",VLOOKUP(K96,#REF!,42)*G96,IF(C96="NonRes Refrigeration",VLOOKUP(K96,#REF!,44)*G96,IF(C96="NonRes Ventilation",VLOOKUP(K96,#REF!,46)*G96,0))))))))))))))))))))))</f>
        <v>0</v>
      </c>
      <c r="U96" s="18">
        <f>IF(D96="Annual",VLOOKUP(K96,#REF!,4)*'3.4 - Open'!I96,IF(D96="Winter",VLOOKUP('3.4 - Open'!K96,#REF!,5)*'3.4 - Open'!I96,IF(D96="NA",0,0)))</f>
        <v>0</v>
      </c>
      <c r="V96" s="19" t="e">
        <f t="shared" si="36"/>
        <v>#DIV/0!</v>
      </c>
      <c r="W96" s="19" t="e">
        <f t="shared" si="37"/>
        <v>#DIV/0!</v>
      </c>
      <c r="X96" s="19" t="e">
        <f t="shared" si="38"/>
        <v>#DIV/0!</v>
      </c>
      <c r="Y96" s="19" t="e">
        <f t="shared" si="39"/>
        <v>#DIV/0!</v>
      </c>
      <c r="Z96" s="20" t="e">
        <f>(T96+U96+(PV(#REF!,'3.4 - Open'!K96,'3.4 - Open'!P96)*-1)+'3.4 - Open'!O96)/'3.4 - Open'!E96</f>
        <v>#REF!</v>
      </c>
      <c r="AA96" s="20" t="e">
        <f t="shared" si="49"/>
        <v>#DIV/0!</v>
      </c>
      <c r="AB96" s="21">
        <f t="shared" si="40"/>
        <v>0</v>
      </c>
      <c r="AC96" s="20">
        <f t="shared" si="41"/>
        <v>0</v>
      </c>
      <c r="AD96" s="20">
        <f t="shared" si="42"/>
        <v>0</v>
      </c>
      <c r="AE96" s="20">
        <f t="shared" si="43"/>
        <v>0</v>
      </c>
      <c r="AF96" s="19" t="e">
        <f t="shared" si="44"/>
        <v>#DIV/0!</v>
      </c>
      <c r="AG96" s="19" t="e">
        <f t="shared" si="45"/>
        <v>#DIV/0!</v>
      </c>
      <c r="AH96" s="19" t="e">
        <f t="shared" si="46"/>
        <v>#DIV/0!</v>
      </c>
      <c r="AI96" s="19" t="e">
        <f t="shared" si="47"/>
        <v>#DIV/0!</v>
      </c>
      <c r="AJ96" s="15">
        <f t="shared" si="50"/>
        <v>0</v>
      </c>
      <c r="AK96" s="19" t="e">
        <f t="shared" si="51"/>
        <v>#DIV/0!</v>
      </c>
      <c r="AL96" s="19" t="e">
        <f t="shared" si="52"/>
        <v>#DIV/0!</v>
      </c>
      <c r="AM96" s="19">
        <f t="shared" si="48"/>
        <v>0</v>
      </c>
      <c r="AN96" s="19" t="e">
        <f t="shared" si="53"/>
        <v>#DIV/0!</v>
      </c>
      <c r="AO96" s="19" t="e">
        <f t="shared" si="54"/>
        <v>#DIV/0!</v>
      </c>
      <c r="AP96" s="18" t="e">
        <f>-PV(#REF!,'3.4 - Open'!K96,'3.4 - Open'!P96)*'3.4 - Open'!B96</f>
        <v>#REF!</v>
      </c>
      <c r="AQ96" s="19" t="e">
        <f t="shared" si="55"/>
        <v>#REF!</v>
      </c>
      <c r="AR96" s="19" t="e">
        <f t="shared" si="56"/>
        <v>#REF!</v>
      </c>
      <c r="AS96" s="18" t="e">
        <f>B96*G96*K96*#REF!</f>
        <v>#REF!</v>
      </c>
      <c r="AT96" s="19" t="e">
        <f>B96*I96*K96*#REF!</f>
        <v>#REF!</v>
      </c>
      <c r="AU96" s="24"/>
      <c r="AV96" s="24"/>
      <c r="AW96" s="24"/>
      <c r="AX96" s="24"/>
      <c r="AY96" s="24"/>
    </row>
    <row r="97" spans="1:51" x14ac:dyDescent="0.25">
      <c r="A97" s="14"/>
      <c r="B97" s="14"/>
      <c r="C97" s="14"/>
      <c r="D97" s="14" t="s">
        <v>24</v>
      </c>
      <c r="E97" s="15"/>
      <c r="F97" s="15"/>
      <c r="G97" s="14"/>
      <c r="H97" s="14"/>
      <c r="I97" s="14"/>
      <c r="J97" s="14"/>
      <c r="K97" s="14"/>
      <c r="L97" s="14"/>
      <c r="M97" s="15"/>
      <c r="N97" s="15"/>
      <c r="O97" s="15"/>
      <c r="P97" s="15"/>
      <c r="Q97" s="15"/>
      <c r="R97" s="15"/>
      <c r="S97" s="15"/>
      <c r="T97" s="18">
        <f>IF(C97="Res Space Heat",VLOOKUP(K97,#REF!,4)*G97,IF(C97="Res AC",VLOOKUP(K97,#REF!,6)*G97,IF(C97="Res Lighting",VLOOKUP(K97,#REF!,8)*G97,IF(C97="Res Refrigeration",VLOOKUP(K97,#REF!,10)*G97,IF(C97="Res Water Heating",VLOOKUP(K97,#REF!,12)*G97,IF(C97="Res Dishwasher",VLOOKUP(K97,#REF!,14)*G97,IF(C97="Res Washer Dryer",VLOOKUP(K97,#REF!,16)*G97,IF(C97="Res Misc",VLOOKUP(K97,#REF!,18)*G97,IF(C97="Res Furnace Fan",VLOOKUP(K97,#REF!,20)*G97,IF(C97="NonRes Compressed Air",VLOOKUP(K97,#REF!,22)*G97,IF(C97="NonRes Cooking",VLOOKUP(K97,#REF!,24)*G97,IF(C97="NonRes Space Cooling",VLOOKUP(K97,#REF!,26)*G97,IF(C97="NonRes Exterior Lighting",VLOOKUP(K97,#REF!,28)*G97,IF(C97="NonRes Space Heating",VLOOKUP(K97,#REF!,30)*G97,IF(C97="NonRes Water Heating",VLOOKUP(K97,#REF!,32)*G97,IF(C97="NonRes Interior Lighting",VLOOKUP(K97,#REF!,34)*G97,IF(C97="NonRes Misc",VLOOKUP(K97,#REF!,36)*G97,IF(C97="NonRes Motors",VLOOKUP(K97,#REF!,38)*G97,IF(C97="NonRes Office Equipment",VLOOKUP(K97,#REF!,40)*G97,IF(C97="NonRes Process",VLOOKUP(K97,#REF!,42)*G97,IF(C97="NonRes Refrigeration",VLOOKUP(K97,#REF!,44)*G97,IF(C97="NonRes Ventilation",VLOOKUP(K97,#REF!,46)*G97,0))))))))))))))))))))))</f>
        <v>0</v>
      </c>
      <c r="U97" s="18">
        <f>IF(D97="Annual",VLOOKUP(K97,#REF!,4)*'3.4 - Open'!I97,IF(D97="Winter",VLOOKUP('3.4 - Open'!K97,#REF!,5)*'3.4 - Open'!I97,IF(D97="NA",0,0)))</f>
        <v>0</v>
      </c>
      <c r="V97" s="19" t="e">
        <f t="shared" si="36"/>
        <v>#DIV/0!</v>
      </c>
      <c r="W97" s="19" t="e">
        <f t="shared" si="37"/>
        <v>#DIV/0!</v>
      </c>
      <c r="X97" s="19" t="e">
        <f t="shared" si="38"/>
        <v>#DIV/0!</v>
      </c>
      <c r="Y97" s="19" t="e">
        <f t="shared" si="39"/>
        <v>#DIV/0!</v>
      </c>
      <c r="Z97" s="20" t="e">
        <f>(T97+U97+(PV(#REF!,'3.4 - Open'!K97,'3.4 - Open'!P97)*-1)+'3.4 - Open'!O97)/'3.4 - Open'!E97</f>
        <v>#REF!</v>
      </c>
      <c r="AA97" s="20" t="e">
        <f t="shared" si="49"/>
        <v>#DIV/0!</v>
      </c>
      <c r="AB97" s="21">
        <f t="shared" si="40"/>
        <v>0</v>
      </c>
      <c r="AC97" s="20">
        <f t="shared" si="41"/>
        <v>0</v>
      </c>
      <c r="AD97" s="20">
        <f t="shared" si="42"/>
        <v>0</v>
      </c>
      <c r="AE97" s="20">
        <f t="shared" si="43"/>
        <v>0</v>
      </c>
      <c r="AF97" s="19" t="e">
        <f t="shared" si="44"/>
        <v>#DIV/0!</v>
      </c>
      <c r="AG97" s="19" t="e">
        <f t="shared" si="45"/>
        <v>#DIV/0!</v>
      </c>
      <c r="AH97" s="19" t="e">
        <f t="shared" si="46"/>
        <v>#DIV/0!</v>
      </c>
      <c r="AI97" s="19" t="e">
        <f t="shared" si="47"/>
        <v>#DIV/0!</v>
      </c>
      <c r="AJ97" s="15">
        <f t="shared" si="50"/>
        <v>0</v>
      </c>
      <c r="AK97" s="19" t="e">
        <f t="shared" si="51"/>
        <v>#DIV/0!</v>
      </c>
      <c r="AL97" s="19" t="e">
        <f t="shared" si="52"/>
        <v>#DIV/0!</v>
      </c>
      <c r="AM97" s="19">
        <f t="shared" si="48"/>
        <v>0</v>
      </c>
      <c r="AN97" s="19" t="e">
        <f t="shared" si="53"/>
        <v>#DIV/0!</v>
      </c>
      <c r="AO97" s="19" t="e">
        <f t="shared" si="54"/>
        <v>#DIV/0!</v>
      </c>
      <c r="AP97" s="18" t="e">
        <f>-PV(#REF!,'3.4 - Open'!K97,'3.4 - Open'!P97)*'3.4 - Open'!B97</f>
        <v>#REF!</v>
      </c>
      <c r="AQ97" s="19" t="e">
        <f t="shared" si="55"/>
        <v>#REF!</v>
      </c>
      <c r="AR97" s="19" t="e">
        <f t="shared" si="56"/>
        <v>#REF!</v>
      </c>
      <c r="AS97" s="18" t="e">
        <f>B97*G97*K97*#REF!</f>
        <v>#REF!</v>
      </c>
      <c r="AT97" s="19" t="e">
        <f>B97*I97*K97*#REF!</f>
        <v>#REF!</v>
      </c>
      <c r="AU97" s="24"/>
      <c r="AV97" s="24"/>
      <c r="AW97" s="24"/>
      <c r="AX97" s="24"/>
      <c r="AY97" s="24"/>
    </row>
    <row r="98" spans="1:51" x14ac:dyDescent="0.25">
      <c r="A98" s="14"/>
      <c r="B98" s="14"/>
      <c r="C98" s="14"/>
      <c r="D98" s="14" t="s">
        <v>24</v>
      </c>
      <c r="E98" s="15"/>
      <c r="F98" s="15"/>
      <c r="G98" s="14"/>
      <c r="H98" s="14"/>
      <c r="I98" s="14"/>
      <c r="J98" s="14"/>
      <c r="K98" s="14"/>
      <c r="L98" s="14"/>
      <c r="M98" s="15"/>
      <c r="N98" s="15"/>
      <c r="O98" s="15"/>
      <c r="P98" s="15"/>
      <c r="Q98" s="15"/>
      <c r="R98" s="15"/>
      <c r="S98" s="15"/>
      <c r="T98" s="18">
        <f>IF(C98="Res Space Heat",VLOOKUP(K98,#REF!,4)*G98,IF(C98="Res AC",VLOOKUP(K98,#REF!,6)*G98,IF(C98="Res Lighting",VLOOKUP(K98,#REF!,8)*G98,IF(C98="Res Refrigeration",VLOOKUP(K98,#REF!,10)*G98,IF(C98="Res Water Heating",VLOOKUP(K98,#REF!,12)*G98,IF(C98="Res Dishwasher",VLOOKUP(K98,#REF!,14)*G98,IF(C98="Res Washer Dryer",VLOOKUP(K98,#REF!,16)*G98,IF(C98="Res Misc",VLOOKUP(K98,#REF!,18)*G98,IF(C98="Res Furnace Fan",VLOOKUP(K98,#REF!,20)*G98,IF(C98="NonRes Compressed Air",VLOOKUP(K98,#REF!,22)*G98,IF(C98="NonRes Cooking",VLOOKUP(K98,#REF!,24)*G98,IF(C98="NonRes Space Cooling",VLOOKUP(K98,#REF!,26)*G98,IF(C98="NonRes Exterior Lighting",VLOOKUP(K98,#REF!,28)*G98,IF(C98="NonRes Space Heating",VLOOKUP(K98,#REF!,30)*G98,IF(C98="NonRes Water Heating",VLOOKUP(K98,#REF!,32)*G98,IF(C98="NonRes Interior Lighting",VLOOKUP(K98,#REF!,34)*G98,IF(C98="NonRes Misc",VLOOKUP(K98,#REF!,36)*G98,IF(C98="NonRes Motors",VLOOKUP(K98,#REF!,38)*G98,IF(C98="NonRes Office Equipment",VLOOKUP(K98,#REF!,40)*G98,IF(C98="NonRes Process",VLOOKUP(K98,#REF!,42)*G98,IF(C98="NonRes Refrigeration",VLOOKUP(K98,#REF!,44)*G98,IF(C98="NonRes Ventilation",VLOOKUP(K98,#REF!,46)*G98,0))))))))))))))))))))))</f>
        <v>0</v>
      </c>
      <c r="U98" s="18">
        <f>IF(D98="Annual",VLOOKUP(K98,#REF!,4)*'3.4 - Open'!I98,IF(D98="Winter",VLOOKUP('3.4 - Open'!K98,#REF!,5)*'3.4 - Open'!I98,IF(D98="NA",0,0)))</f>
        <v>0</v>
      </c>
      <c r="V98" s="19" t="e">
        <f t="shared" si="36"/>
        <v>#DIV/0!</v>
      </c>
      <c r="W98" s="19" t="e">
        <f t="shared" si="37"/>
        <v>#DIV/0!</v>
      </c>
      <c r="X98" s="19" t="e">
        <f t="shared" si="38"/>
        <v>#DIV/0!</v>
      </c>
      <c r="Y98" s="19" t="e">
        <f t="shared" si="39"/>
        <v>#DIV/0!</v>
      </c>
      <c r="Z98" s="20" t="e">
        <f>(T98+U98+(PV(#REF!,'3.4 - Open'!K98,'3.4 - Open'!P98)*-1)+'3.4 - Open'!O98)/'3.4 - Open'!E98</f>
        <v>#REF!</v>
      </c>
      <c r="AA98" s="20" t="e">
        <f t="shared" si="49"/>
        <v>#DIV/0!</v>
      </c>
      <c r="AB98" s="21">
        <f t="shared" si="40"/>
        <v>0</v>
      </c>
      <c r="AC98" s="20">
        <f t="shared" si="41"/>
        <v>0</v>
      </c>
      <c r="AD98" s="20">
        <f t="shared" si="42"/>
        <v>0</v>
      </c>
      <c r="AE98" s="20">
        <f t="shared" si="43"/>
        <v>0</v>
      </c>
      <c r="AF98" s="19" t="e">
        <f t="shared" si="44"/>
        <v>#DIV/0!</v>
      </c>
      <c r="AG98" s="19" t="e">
        <f t="shared" si="45"/>
        <v>#DIV/0!</v>
      </c>
      <c r="AH98" s="19" t="e">
        <f t="shared" si="46"/>
        <v>#DIV/0!</v>
      </c>
      <c r="AI98" s="19" t="e">
        <f t="shared" si="47"/>
        <v>#DIV/0!</v>
      </c>
      <c r="AJ98" s="15">
        <f t="shared" si="50"/>
        <v>0</v>
      </c>
      <c r="AK98" s="19" t="e">
        <f t="shared" si="51"/>
        <v>#DIV/0!</v>
      </c>
      <c r="AL98" s="19" t="e">
        <f t="shared" si="52"/>
        <v>#DIV/0!</v>
      </c>
      <c r="AM98" s="19">
        <f t="shared" si="48"/>
        <v>0</v>
      </c>
      <c r="AN98" s="19" t="e">
        <f t="shared" si="53"/>
        <v>#DIV/0!</v>
      </c>
      <c r="AO98" s="19" t="e">
        <f t="shared" si="54"/>
        <v>#DIV/0!</v>
      </c>
      <c r="AP98" s="18" t="e">
        <f>-PV(#REF!,'3.4 - Open'!K98,'3.4 - Open'!P98)*'3.4 - Open'!B98</f>
        <v>#REF!</v>
      </c>
      <c r="AQ98" s="19" t="e">
        <f t="shared" si="55"/>
        <v>#REF!</v>
      </c>
      <c r="AR98" s="19" t="e">
        <f t="shared" si="56"/>
        <v>#REF!</v>
      </c>
      <c r="AS98" s="18" t="e">
        <f>B98*G98*K98*#REF!</f>
        <v>#REF!</v>
      </c>
      <c r="AT98" s="19" t="e">
        <f>B98*I98*K98*#REF!</f>
        <v>#REF!</v>
      </c>
      <c r="AU98" s="24"/>
      <c r="AV98" s="24"/>
      <c r="AW98" s="24"/>
      <c r="AX98" s="24"/>
      <c r="AY98" s="24"/>
    </row>
    <row r="99" spans="1:51" x14ac:dyDescent="0.25">
      <c r="A99" s="14"/>
      <c r="B99" s="14"/>
      <c r="C99" s="14"/>
      <c r="D99" s="14" t="s">
        <v>24</v>
      </c>
      <c r="E99" s="15"/>
      <c r="F99" s="15"/>
      <c r="G99" s="14"/>
      <c r="H99" s="14"/>
      <c r="I99" s="14"/>
      <c r="J99" s="14"/>
      <c r="K99" s="14"/>
      <c r="L99" s="14"/>
      <c r="M99" s="15"/>
      <c r="N99" s="15"/>
      <c r="O99" s="15"/>
      <c r="P99" s="15"/>
      <c r="Q99" s="15"/>
      <c r="R99" s="15"/>
      <c r="S99" s="15"/>
      <c r="T99" s="18">
        <f>IF(C99="Res Space Heat",VLOOKUP(K99,#REF!,4)*G99,IF(C99="Res AC",VLOOKUP(K99,#REF!,6)*G99,IF(C99="Res Lighting",VLOOKUP(K99,#REF!,8)*G99,IF(C99="Res Refrigeration",VLOOKUP(K99,#REF!,10)*G99,IF(C99="Res Water Heating",VLOOKUP(K99,#REF!,12)*G99,IF(C99="Res Dishwasher",VLOOKUP(K99,#REF!,14)*G99,IF(C99="Res Washer Dryer",VLOOKUP(K99,#REF!,16)*G99,IF(C99="Res Misc",VLOOKUP(K99,#REF!,18)*G99,IF(C99="Res Furnace Fan",VLOOKUP(K99,#REF!,20)*G99,IF(C99="NonRes Compressed Air",VLOOKUP(K99,#REF!,22)*G99,IF(C99="NonRes Cooking",VLOOKUP(K99,#REF!,24)*G99,IF(C99="NonRes Space Cooling",VLOOKUP(K99,#REF!,26)*G99,IF(C99="NonRes Exterior Lighting",VLOOKUP(K99,#REF!,28)*G99,IF(C99="NonRes Space Heating",VLOOKUP(K99,#REF!,30)*G99,IF(C99="NonRes Water Heating",VLOOKUP(K99,#REF!,32)*G99,IF(C99="NonRes Interior Lighting",VLOOKUP(K99,#REF!,34)*G99,IF(C99="NonRes Misc",VLOOKUP(K99,#REF!,36)*G99,IF(C99="NonRes Motors",VLOOKUP(K99,#REF!,38)*G99,IF(C99="NonRes Office Equipment",VLOOKUP(K99,#REF!,40)*G99,IF(C99="NonRes Process",VLOOKUP(K99,#REF!,42)*G99,IF(C99="NonRes Refrigeration",VLOOKUP(K99,#REF!,44)*G99,IF(C99="NonRes Ventilation",VLOOKUP(K99,#REF!,46)*G99,0))))))))))))))))))))))</f>
        <v>0</v>
      </c>
      <c r="U99" s="18">
        <f>IF(D99="Annual",VLOOKUP(K99,#REF!,4)*'3.4 - Open'!I99,IF(D99="Winter",VLOOKUP('3.4 - Open'!K99,#REF!,5)*'3.4 - Open'!I99,IF(D99="NA",0,0)))</f>
        <v>0</v>
      </c>
      <c r="V99" s="19" t="e">
        <f t="shared" si="36"/>
        <v>#DIV/0!</v>
      </c>
      <c r="W99" s="19" t="e">
        <f t="shared" si="37"/>
        <v>#DIV/0!</v>
      </c>
      <c r="X99" s="19" t="e">
        <f t="shared" si="38"/>
        <v>#DIV/0!</v>
      </c>
      <c r="Y99" s="19" t="e">
        <f t="shared" si="39"/>
        <v>#DIV/0!</v>
      </c>
      <c r="Z99" s="20" t="e">
        <f>(T99+U99+(PV(#REF!,'3.4 - Open'!K99,'3.4 - Open'!P99)*-1)+'3.4 - Open'!O99)/'3.4 - Open'!E99</f>
        <v>#REF!</v>
      </c>
      <c r="AA99" s="20" t="e">
        <f t="shared" si="49"/>
        <v>#DIV/0!</v>
      </c>
      <c r="AB99" s="21">
        <f t="shared" si="40"/>
        <v>0</v>
      </c>
      <c r="AC99" s="20">
        <f t="shared" si="41"/>
        <v>0</v>
      </c>
      <c r="AD99" s="20">
        <f t="shared" si="42"/>
        <v>0</v>
      </c>
      <c r="AE99" s="20">
        <f t="shared" si="43"/>
        <v>0</v>
      </c>
      <c r="AF99" s="19" t="e">
        <f t="shared" si="44"/>
        <v>#DIV/0!</v>
      </c>
      <c r="AG99" s="19" t="e">
        <f t="shared" si="45"/>
        <v>#DIV/0!</v>
      </c>
      <c r="AH99" s="19" t="e">
        <f t="shared" si="46"/>
        <v>#DIV/0!</v>
      </c>
      <c r="AI99" s="19" t="e">
        <f t="shared" si="47"/>
        <v>#DIV/0!</v>
      </c>
      <c r="AJ99" s="15">
        <f t="shared" si="50"/>
        <v>0</v>
      </c>
      <c r="AK99" s="19" t="e">
        <f t="shared" si="51"/>
        <v>#DIV/0!</v>
      </c>
      <c r="AL99" s="19" t="e">
        <f t="shared" si="52"/>
        <v>#DIV/0!</v>
      </c>
      <c r="AM99" s="19">
        <f t="shared" si="48"/>
        <v>0</v>
      </c>
      <c r="AN99" s="19" t="e">
        <f t="shared" si="53"/>
        <v>#DIV/0!</v>
      </c>
      <c r="AO99" s="19" t="e">
        <f t="shared" si="54"/>
        <v>#DIV/0!</v>
      </c>
      <c r="AP99" s="18" t="e">
        <f>-PV(#REF!,'3.4 - Open'!K99,'3.4 - Open'!P99)*'3.4 - Open'!B99</f>
        <v>#REF!</v>
      </c>
      <c r="AQ99" s="19" t="e">
        <f t="shared" si="55"/>
        <v>#REF!</v>
      </c>
      <c r="AR99" s="19" t="e">
        <f t="shared" si="56"/>
        <v>#REF!</v>
      </c>
      <c r="AS99" s="18" t="e">
        <f>B99*G99*K99*#REF!</f>
        <v>#REF!</v>
      </c>
      <c r="AT99" s="19" t="e">
        <f>B99*I99*K99*#REF!</f>
        <v>#REF!</v>
      </c>
      <c r="AU99" s="24"/>
      <c r="AV99" s="24"/>
      <c r="AW99" s="24"/>
      <c r="AX99" s="24"/>
      <c r="AY99" s="24"/>
    </row>
    <row r="100" spans="1:51" x14ac:dyDescent="0.25">
      <c r="A100" s="14"/>
      <c r="B100" s="14"/>
      <c r="C100" s="14"/>
      <c r="D100" s="14" t="s">
        <v>24</v>
      </c>
      <c r="E100" s="15"/>
      <c r="F100" s="15"/>
      <c r="G100" s="14"/>
      <c r="H100" s="14"/>
      <c r="I100" s="14"/>
      <c r="J100" s="14"/>
      <c r="K100" s="14"/>
      <c r="L100" s="14"/>
      <c r="M100" s="15"/>
      <c r="N100" s="15"/>
      <c r="O100" s="15"/>
      <c r="P100" s="15"/>
      <c r="Q100" s="15"/>
      <c r="R100" s="15"/>
      <c r="S100" s="15"/>
      <c r="T100" s="18">
        <f>IF(C100="Res Space Heat",VLOOKUP(K100,#REF!,4)*G100,IF(C100="Res AC",VLOOKUP(K100,#REF!,6)*G100,IF(C100="Res Lighting",VLOOKUP(K100,#REF!,8)*G100,IF(C100="Res Refrigeration",VLOOKUP(K100,#REF!,10)*G100,IF(C100="Res Water Heating",VLOOKUP(K100,#REF!,12)*G100,IF(C100="Res Dishwasher",VLOOKUP(K100,#REF!,14)*G100,IF(C100="Res Washer Dryer",VLOOKUP(K100,#REF!,16)*G100,IF(C100="Res Misc",VLOOKUP(K100,#REF!,18)*G100,IF(C100="Res Furnace Fan",VLOOKUP(K100,#REF!,20)*G100,IF(C100="NonRes Compressed Air",VLOOKUP(K100,#REF!,22)*G100,IF(C100="NonRes Cooking",VLOOKUP(K100,#REF!,24)*G100,IF(C100="NonRes Space Cooling",VLOOKUP(K100,#REF!,26)*G100,IF(C100="NonRes Exterior Lighting",VLOOKUP(K100,#REF!,28)*G100,IF(C100="NonRes Space Heating",VLOOKUP(K100,#REF!,30)*G100,IF(C100="NonRes Water Heating",VLOOKUP(K100,#REF!,32)*G100,IF(C100="NonRes Interior Lighting",VLOOKUP(K100,#REF!,34)*G100,IF(C100="NonRes Misc",VLOOKUP(K100,#REF!,36)*G100,IF(C100="NonRes Motors",VLOOKUP(K100,#REF!,38)*G100,IF(C100="NonRes Office Equipment",VLOOKUP(K100,#REF!,40)*G100,IF(C100="NonRes Process",VLOOKUP(K100,#REF!,42)*G100,IF(C100="NonRes Refrigeration",VLOOKUP(K100,#REF!,44)*G100,IF(C100="NonRes Ventilation",VLOOKUP(K100,#REF!,46)*G100,0))))))))))))))))))))))</f>
        <v>0</v>
      </c>
      <c r="U100" s="18">
        <f>IF(D100="Annual",VLOOKUP(K100,#REF!,4)*'3.4 - Open'!I100,IF(D100="Winter",VLOOKUP('3.4 - Open'!K100,#REF!,5)*'3.4 - Open'!I100,IF(D100="NA",0,0)))</f>
        <v>0</v>
      </c>
      <c r="V100" s="19" t="e">
        <f>(T100/(T100+U100))*E100</f>
        <v>#DIV/0!</v>
      </c>
      <c r="W100" s="19" t="e">
        <f>E100-V100</f>
        <v>#DIV/0!</v>
      </c>
      <c r="X100" s="19" t="e">
        <f t="shared" si="38"/>
        <v>#DIV/0!</v>
      </c>
      <c r="Y100" s="19" t="e">
        <f>M100-X100</f>
        <v>#DIV/0!</v>
      </c>
      <c r="Z100" s="20" t="e">
        <f>(T100+U100+(PV(#REF!,'3.4 - Open'!K100,'3.4 - Open'!P100)*-1)+'3.4 - Open'!O100)/'3.4 - Open'!E100</f>
        <v>#REF!</v>
      </c>
      <c r="AA100" s="20" t="e">
        <f t="shared" si="49"/>
        <v>#DIV/0!</v>
      </c>
      <c r="AB100" s="21">
        <f t="shared" si="40"/>
        <v>0</v>
      </c>
      <c r="AC100" s="20">
        <f t="shared" si="41"/>
        <v>0</v>
      </c>
      <c r="AD100" s="20">
        <f t="shared" si="42"/>
        <v>0</v>
      </c>
      <c r="AE100" s="20">
        <f t="shared" si="43"/>
        <v>0</v>
      </c>
      <c r="AF100" s="19" t="e">
        <f t="shared" si="44"/>
        <v>#DIV/0!</v>
      </c>
      <c r="AG100" s="19" t="e">
        <f t="shared" si="45"/>
        <v>#DIV/0!</v>
      </c>
      <c r="AH100" s="19" t="e">
        <f t="shared" si="46"/>
        <v>#DIV/0!</v>
      </c>
      <c r="AI100" s="19" t="e">
        <f t="shared" si="47"/>
        <v>#DIV/0!</v>
      </c>
      <c r="AJ100" s="15">
        <f t="shared" si="50"/>
        <v>0</v>
      </c>
      <c r="AK100" s="19" t="e">
        <f t="shared" si="51"/>
        <v>#DIV/0!</v>
      </c>
      <c r="AL100" s="19" t="e">
        <f t="shared" si="52"/>
        <v>#DIV/0!</v>
      </c>
      <c r="AM100" s="19">
        <f t="shared" si="48"/>
        <v>0</v>
      </c>
      <c r="AN100" s="19" t="e">
        <f t="shared" si="53"/>
        <v>#DIV/0!</v>
      </c>
      <c r="AO100" s="19" t="e">
        <f t="shared" si="54"/>
        <v>#DIV/0!</v>
      </c>
      <c r="AP100" s="18" t="e">
        <f>-PV(#REF!,'3.4 - Open'!K100,'3.4 - Open'!P100)*'3.4 - Open'!B100</f>
        <v>#REF!</v>
      </c>
      <c r="AQ100" s="19" t="e">
        <f t="shared" si="55"/>
        <v>#REF!</v>
      </c>
      <c r="AR100" s="19" t="e">
        <f t="shared" si="56"/>
        <v>#REF!</v>
      </c>
      <c r="AS100" s="18" t="e">
        <f>B100*G100*K100*#REF!</f>
        <v>#REF!</v>
      </c>
      <c r="AT100" s="19" t="e">
        <f>B100*I100*K100*#REF!</f>
        <v>#REF!</v>
      </c>
      <c r="AU100" s="24"/>
      <c r="AV100" s="24"/>
      <c r="AW100" s="24"/>
      <c r="AX100" s="24"/>
      <c r="AY100" s="24"/>
    </row>
    <row r="101" spans="1:51" x14ac:dyDescent="0.25">
      <c r="A101" s="14"/>
      <c r="B101" s="14"/>
      <c r="C101" s="14"/>
      <c r="D101" s="14" t="s">
        <v>24</v>
      </c>
      <c r="E101" s="15"/>
      <c r="F101" s="15"/>
      <c r="G101" s="14"/>
      <c r="H101" s="14"/>
      <c r="I101" s="14"/>
      <c r="J101" s="14"/>
      <c r="K101" s="14"/>
      <c r="L101" s="14"/>
      <c r="M101" s="15"/>
      <c r="N101" s="15"/>
      <c r="O101" s="15"/>
      <c r="P101" s="15"/>
      <c r="Q101" s="15"/>
      <c r="R101" s="15"/>
      <c r="S101" s="15"/>
      <c r="T101" s="18">
        <f>IF(C101="Res Space Heat",VLOOKUP(K101,#REF!,4)*G101,IF(C101="Res AC",VLOOKUP(K101,#REF!,6)*G101,IF(C101="Res Lighting",VLOOKUP(K101,#REF!,8)*G101,IF(C101="Res Refrigeration",VLOOKUP(K101,#REF!,10)*G101,IF(C101="Res Water Heating",VLOOKUP(K101,#REF!,12)*G101,IF(C101="Res Dishwasher",VLOOKUP(K101,#REF!,14)*G101,IF(C101="Res Washer Dryer",VLOOKUP(K101,#REF!,16)*G101,IF(C101="Res Misc",VLOOKUP(K101,#REF!,18)*G101,IF(C101="Res Furnace Fan",VLOOKUP(K101,#REF!,20)*G101,IF(C101="NonRes Compressed Air",VLOOKUP(K101,#REF!,22)*G101,IF(C101="NonRes Cooking",VLOOKUP(K101,#REF!,24)*G101,IF(C101="NonRes Space Cooling",VLOOKUP(K101,#REF!,26)*G101,IF(C101="NonRes Exterior Lighting",VLOOKUP(K101,#REF!,28)*G101,IF(C101="NonRes Space Heating",VLOOKUP(K101,#REF!,30)*G101,IF(C101="NonRes Water Heating",VLOOKUP(K101,#REF!,32)*G101,IF(C101="NonRes Interior Lighting",VLOOKUP(K101,#REF!,34)*G101,IF(C101="NonRes Misc",VLOOKUP(K101,#REF!,36)*G101,IF(C101="NonRes Motors",VLOOKUP(K101,#REF!,38)*G101,IF(C101="NonRes Office Equipment",VLOOKUP(K101,#REF!,40)*G101,IF(C101="NonRes Process",VLOOKUP(K101,#REF!,42)*G101,IF(C101="NonRes Refrigeration",VLOOKUP(K101,#REF!,44)*G101,IF(C101="NonRes Ventilation",VLOOKUP(K101,#REF!,46)*G101,0))))))))))))))))))))))</f>
        <v>0</v>
      </c>
      <c r="U101" s="18">
        <f>IF(D101="Annual",VLOOKUP(K101,#REF!,4)*'3.4 - Open'!I101,IF(D101="Winter",VLOOKUP('3.4 - Open'!K101,#REF!,5)*'3.4 - Open'!I101,IF(D101="NA",0,0)))</f>
        <v>0</v>
      </c>
      <c r="V101" s="19" t="e">
        <f>(T101/(T101+U101))*E101</f>
        <v>#DIV/0!</v>
      </c>
      <c r="W101" s="19" t="e">
        <f>E101-V101</f>
        <v>#DIV/0!</v>
      </c>
      <c r="X101" s="19" t="e">
        <f t="shared" si="38"/>
        <v>#DIV/0!</v>
      </c>
      <c r="Y101" s="19" t="e">
        <f>M101-X101</f>
        <v>#DIV/0!</v>
      </c>
      <c r="Z101" s="20" t="e">
        <f>(T101+U101+(PV(#REF!,'3.4 - Open'!K101,'3.4 - Open'!P101)*-1)+'3.4 - Open'!O101)/'3.4 - Open'!E101</f>
        <v>#REF!</v>
      </c>
      <c r="AA101" s="20" t="e">
        <f t="shared" si="49"/>
        <v>#DIV/0!</v>
      </c>
      <c r="AB101" s="21">
        <f t="shared" si="40"/>
        <v>0</v>
      </c>
      <c r="AC101" s="20">
        <f t="shared" si="41"/>
        <v>0</v>
      </c>
      <c r="AD101" s="20">
        <f t="shared" si="42"/>
        <v>0</v>
      </c>
      <c r="AE101" s="20">
        <f t="shared" si="43"/>
        <v>0</v>
      </c>
      <c r="AF101" s="19" t="e">
        <f t="shared" si="44"/>
        <v>#DIV/0!</v>
      </c>
      <c r="AG101" s="19" t="e">
        <f t="shared" si="45"/>
        <v>#DIV/0!</v>
      </c>
      <c r="AH101" s="19" t="e">
        <f t="shared" si="46"/>
        <v>#DIV/0!</v>
      </c>
      <c r="AI101" s="19" t="e">
        <f t="shared" si="47"/>
        <v>#DIV/0!</v>
      </c>
      <c r="AJ101" s="15">
        <f t="shared" si="50"/>
        <v>0</v>
      </c>
      <c r="AK101" s="19" t="e">
        <f t="shared" si="51"/>
        <v>#DIV/0!</v>
      </c>
      <c r="AL101" s="19" t="e">
        <f t="shared" si="52"/>
        <v>#DIV/0!</v>
      </c>
      <c r="AM101" s="19">
        <f t="shared" si="48"/>
        <v>0</v>
      </c>
      <c r="AN101" s="19" t="e">
        <f t="shared" si="53"/>
        <v>#DIV/0!</v>
      </c>
      <c r="AO101" s="19" t="e">
        <f t="shared" si="54"/>
        <v>#DIV/0!</v>
      </c>
      <c r="AP101" s="18" t="e">
        <f>-PV(#REF!,'3.4 - Open'!K101,'3.4 - Open'!P101)*'3.4 - Open'!B101</f>
        <v>#REF!</v>
      </c>
      <c r="AQ101" s="19" t="e">
        <f t="shared" si="55"/>
        <v>#REF!</v>
      </c>
      <c r="AR101" s="19" t="e">
        <f t="shared" si="56"/>
        <v>#REF!</v>
      </c>
      <c r="AS101" s="18" t="e">
        <f>B101*G101*K101*#REF!</f>
        <v>#REF!</v>
      </c>
      <c r="AT101" s="19" t="e">
        <f>B101*I101*K101*#REF!</f>
        <v>#REF!</v>
      </c>
      <c r="AU101" s="24"/>
      <c r="AV101" s="24"/>
      <c r="AW101" s="24"/>
      <c r="AX101" s="24"/>
      <c r="AY101" s="24"/>
    </row>
    <row r="102" spans="1:51" x14ac:dyDescent="0.25">
      <c r="A102" s="14"/>
      <c r="B102" s="14"/>
      <c r="C102" s="14"/>
      <c r="D102" s="14" t="s">
        <v>24</v>
      </c>
      <c r="E102" s="15"/>
      <c r="F102" s="15"/>
      <c r="G102" s="14"/>
      <c r="H102" s="14"/>
      <c r="I102" s="14"/>
      <c r="J102" s="14"/>
      <c r="K102" s="14"/>
      <c r="L102" s="14"/>
      <c r="M102" s="15"/>
      <c r="N102" s="15"/>
      <c r="O102" s="15"/>
      <c r="P102" s="15"/>
      <c r="Q102" s="15"/>
      <c r="R102" s="15"/>
      <c r="S102" s="15"/>
      <c r="T102" s="18">
        <f>IF(C102="Res Space Heat",VLOOKUP(K102,#REF!,4)*G102,IF(C102="Res AC",VLOOKUP(K102,#REF!,6)*G102,IF(C102="Res Lighting",VLOOKUP(K102,#REF!,8)*G102,IF(C102="Res Refrigeration",VLOOKUP(K102,#REF!,10)*G102,IF(C102="Res Water Heating",VLOOKUP(K102,#REF!,12)*G102,IF(C102="Res Dishwasher",VLOOKUP(K102,#REF!,14)*G102,IF(C102="Res Washer Dryer",VLOOKUP(K102,#REF!,16)*G102,IF(C102="Res Misc",VLOOKUP(K102,#REF!,18)*G102,IF(C102="Res Furnace Fan",VLOOKUP(K102,#REF!,20)*G102,IF(C102="NonRes Compressed Air",VLOOKUP(K102,#REF!,22)*G102,IF(C102="NonRes Cooking",VLOOKUP(K102,#REF!,24)*G102,IF(C102="NonRes Space Cooling",VLOOKUP(K102,#REF!,26)*G102,IF(C102="NonRes Exterior Lighting",VLOOKUP(K102,#REF!,28)*G102,IF(C102="NonRes Space Heating",VLOOKUP(K102,#REF!,30)*G102,IF(C102="NonRes Water Heating",VLOOKUP(K102,#REF!,32)*G102,IF(C102="NonRes Interior Lighting",VLOOKUP(K102,#REF!,34)*G102,IF(C102="NonRes Misc",VLOOKUP(K102,#REF!,36)*G102,IF(C102="NonRes Motors",VLOOKUP(K102,#REF!,38)*G102,IF(C102="NonRes Office Equipment",VLOOKUP(K102,#REF!,40)*G102,IF(C102="NonRes Process",VLOOKUP(K102,#REF!,42)*G102,IF(C102="NonRes Refrigeration",VLOOKUP(K102,#REF!,44)*G102,IF(C102="NonRes Ventilation",VLOOKUP(K102,#REF!,46)*G102,0))))))))))))))))))))))</f>
        <v>0</v>
      </c>
      <c r="U102" s="18">
        <f>IF(D102="Annual",VLOOKUP(K102,#REF!,4)*'3.4 - Open'!I102,IF(D102="Winter",VLOOKUP('3.4 - Open'!K102,#REF!,5)*'3.4 - Open'!I102,IF(D102="NA",0,0)))</f>
        <v>0</v>
      </c>
      <c r="V102" s="19" t="e">
        <f>(T102/(T102+U102))*E102</f>
        <v>#DIV/0!</v>
      </c>
      <c r="W102" s="19" t="e">
        <f>E102-V102</f>
        <v>#DIV/0!</v>
      </c>
      <c r="X102" s="19" t="e">
        <f t="shared" si="38"/>
        <v>#DIV/0!</v>
      </c>
      <c r="Y102" s="19" t="e">
        <f>M102-X102</f>
        <v>#DIV/0!</v>
      </c>
      <c r="Z102" s="20" t="e">
        <f>(T102+U102+(PV(#REF!,'3.4 - Open'!K102,'3.4 - Open'!P102)*-1)+'3.4 - Open'!O102)/'3.4 - Open'!E102</f>
        <v>#REF!</v>
      </c>
      <c r="AA102" s="20" t="e">
        <f t="shared" si="49"/>
        <v>#DIV/0!</v>
      </c>
      <c r="AB102" s="21">
        <f t="shared" si="40"/>
        <v>0</v>
      </c>
      <c r="AC102" s="20">
        <f t="shared" si="41"/>
        <v>0</v>
      </c>
      <c r="AD102" s="20">
        <f t="shared" si="42"/>
        <v>0</v>
      </c>
      <c r="AE102" s="20">
        <f t="shared" si="43"/>
        <v>0</v>
      </c>
      <c r="AF102" s="19" t="e">
        <f t="shared" si="44"/>
        <v>#DIV/0!</v>
      </c>
      <c r="AG102" s="19" t="e">
        <f t="shared" si="45"/>
        <v>#DIV/0!</v>
      </c>
      <c r="AH102" s="19" t="e">
        <f t="shared" si="46"/>
        <v>#DIV/0!</v>
      </c>
      <c r="AI102" s="19" t="e">
        <f t="shared" si="47"/>
        <v>#DIV/0!</v>
      </c>
      <c r="AJ102" s="15">
        <f t="shared" si="50"/>
        <v>0</v>
      </c>
      <c r="AK102" s="19" t="e">
        <f t="shared" si="51"/>
        <v>#DIV/0!</v>
      </c>
      <c r="AL102" s="19" t="e">
        <f t="shared" si="52"/>
        <v>#DIV/0!</v>
      </c>
      <c r="AM102" s="19">
        <f t="shared" si="48"/>
        <v>0</v>
      </c>
      <c r="AN102" s="19" t="e">
        <f t="shared" si="53"/>
        <v>#DIV/0!</v>
      </c>
      <c r="AO102" s="19" t="e">
        <f t="shared" si="54"/>
        <v>#DIV/0!</v>
      </c>
      <c r="AP102" s="18" t="e">
        <f>-PV(#REF!,'3.4 - Open'!K102,'3.4 - Open'!P102)*'3.4 - Open'!B102</f>
        <v>#REF!</v>
      </c>
      <c r="AQ102" s="19" t="e">
        <f t="shared" si="55"/>
        <v>#REF!</v>
      </c>
      <c r="AR102" s="19" t="e">
        <f t="shared" si="56"/>
        <v>#REF!</v>
      </c>
      <c r="AS102" s="18" t="e">
        <f>B102*G102*K102*#REF!</f>
        <v>#REF!</v>
      </c>
      <c r="AT102" s="19" t="e">
        <f>B102*I102*K102*#REF!</f>
        <v>#REF!</v>
      </c>
      <c r="AU102" s="24"/>
      <c r="AV102" s="24"/>
      <c r="AW102" s="24"/>
      <c r="AX102" s="24"/>
      <c r="AY102" s="24"/>
    </row>
    <row r="103" spans="1:51" s="3" customFormat="1" x14ac:dyDescent="0.25">
      <c r="A103" s="3" t="s">
        <v>43</v>
      </c>
      <c r="F103" s="106"/>
      <c r="H103" s="106"/>
      <c r="J103" s="106"/>
      <c r="L103" s="106"/>
      <c r="N103" s="106"/>
      <c r="Q103" s="106"/>
      <c r="R103" s="106"/>
      <c r="S103" s="106"/>
      <c r="AB103" s="4">
        <f>SUMIF(AB4:AB102,"&lt;&gt;#DIV/0!")</f>
        <v>0</v>
      </c>
      <c r="AC103" s="4">
        <f t="shared" ref="AC103:AT103" si="57">SUMIF(AC4:AC102,"&lt;&gt;#DIV/0!")</f>
        <v>0</v>
      </c>
      <c r="AD103" s="4">
        <f t="shared" si="57"/>
        <v>0</v>
      </c>
      <c r="AE103" s="4">
        <f t="shared" si="57"/>
        <v>0</v>
      </c>
      <c r="AF103" s="4">
        <f t="shared" si="57"/>
        <v>0</v>
      </c>
      <c r="AG103" s="4">
        <f t="shared" si="57"/>
        <v>0</v>
      </c>
      <c r="AH103" s="4">
        <f t="shared" si="57"/>
        <v>0</v>
      </c>
      <c r="AI103" s="4">
        <f t="shared" si="57"/>
        <v>0</v>
      </c>
      <c r="AJ103" s="15">
        <f t="shared" si="50"/>
        <v>0</v>
      </c>
      <c r="AK103" s="4">
        <f t="shared" si="57"/>
        <v>0</v>
      </c>
      <c r="AL103" s="4">
        <f t="shared" si="57"/>
        <v>0</v>
      </c>
      <c r="AM103" s="4">
        <f t="shared" si="57"/>
        <v>0</v>
      </c>
      <c r="AN103" s="4">
        <f t="shared" si="57"/>
        <v>0</v>
      </c>
      <c r="AO103" s="4">
        <f t="shared" si="57"/>
        <v>0</v>
      </c>
      <c r="AP103" s="4" t="e">
        <f t="shared" si="57"/>
        <v>#REF!</v>
      </c>
      <c r="AQ103" s="4" t="e">
        <f t="shared" si="57"/>
        <v>#REF!</v>
      </c>
      <c r="AR103" s="4" t="e">
        <f t="shared" si="57"/>
        <v>#REF!</v>
      </c>
      <c r="AS103" s="4" t="e">
        <f t="shared" si="57"/>
        <v>#REF!</v>
      </c>
      <c r="AT103" s="4" t="e">
        <f t="shared" si="57"/>
        <v>#REF!</v>
      </c>
    </row>
  </sheetData>
  <dataValidations count="2">
    <dataValidation type="list" allowBlank="1" showInputMessage="1" showErrorMessage="1" sqref="C4:C102" xr:uid="{00000000-0002-0000-0200-000000000000}">
      <formula1>Elec_Measure_Type</formula1>
    </dataValidation>
    <dataValidation type="list" allowBlank="1" showInputMessage="1" showErrorMessage="1" sqref="D4:D102" xr:uid="{00000000-0002-0000-0200-000001000000}">
      <formula1>$BK$24:$BK$26</formula1>
    </dataValidation>
  </dataValidation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BK103"/>
  <sheetViews>
    <sheetView workbookViewId="0"/>
  </sheetViews>
  <sheetFormatPr defaultColWidth="9.140625" defaultRowHeight="15" x14ac:dyDescent="0.25"/>
  <cols>
    <col min="1" max="1" width="58.140625" style="9" bestFit="1" customWidth="1"/>
    <col min="2" max="2" width="13.140625" style="9" bestFit="1" customWidth="1"/>
    <col min="3" max="3" width="4" style="104" bestFit="1" customWidth="1"/>
    <col min="4" max="4" width="17.7109375" style="9" bestFit="1" customWidth="1"/>
    <col min="5" max="5" width="19.42578125" style="9" customWidth="1"/>
    <col min="6" max="6" width="17.28515625" style="9" customWidth="1"/>
    <col min="7" max="7" width="4" style="104" bestFit="1" customWidth="1"/>
    <col min="8" max="8" width="10.28515625" style="9" bestFit="1" customWidth="1"/>
    <col min="9" max="9" width="4" style="104" bestFit="1" customWidth="1"/>
    <col min="10" max="11" width="9.140625" style="9"/>
    <col min="12" max="12" width="4" style="104" bestFit="1" customWidth="1"/>
    <col min="13" max="13" width="11.140625" style="9" bestFit="1" customWidth="1"/>
    <col min="14" max="14" width="4" style="104" bestFit="1" customWidth="1"/>
    <col min="15" max="15" width="11.140625" style="9" bestFit="1" customWidth="1"/>
    <col min="16" max="16" width="10.5703125" style="9" bestFit="1" customWidth="1"/>
    <col min="17" max="17" width="4" style="104" bestFit="1" customWidth="1"/>
    <col min="18" max="19" width="4" style="104" customWidth="1"/>
    <col min="20" max="20" width="10.42578125" style="9" customWidth="1"/>
    <col min="21" max="21" width="11.28515625" style="9" customWidth="1"/>
    <col min="22" max="22" width="10.28515625" style="9" customWidth="1"/>
    <col min="23" max="23" width="11" style="9" customWidth="1"/>
    <col min="24" max="24" width="10.5703125" style="9" bestFit="1" customWidth="1"/>
    <col min="25" max="25" width="11.28515625" style="9" bestFit="1" customWidth="1"/>
    <col min="26" max="27" width="9.140625" style="9"/>
    <col min="28" max="28" width="10.140625" style="9" customWidth="1"/>
    <col min="29" max="29" width="10.42578125" style="9" customWidth="1"/>
    <col min="30" max="30" width="11.5703125" style="9" customWidth="1"/>
    <col min="31" max="31" width="11.42578125" style="9" customWidth="1"/>
    <col min="32" max="32" width="12.5703125" style="9" customWidth="1"/>
    <col min="33" max="33" width="10.5703125" style="9" bestFit="1" customWidth="1"/>
    <col min="34" max="34" width="13.140625" style="9" customWidth="1"/>
    <col min="35" max="35" width="10.5703125" style="9" bestFit="1" customWidth="1"/>
    <col min="36" max="36" width="11.42578125" style="9" customWidth="1"/>
    <col min="37" max="37" width="12.28515625" style="9" customWidth="1"/>
    <col min="38" max="38" width="10.5703125" style="9" bestFit="1" customWidth="1"/>
    <col min="39" max="41" width="12.85546875" style="9" customWidth="1"/>
    <col min="42" max="44" width="11.5703125" style="9" bestFit="1" customWidth="1"/>
    <col min="45" max="45" width="12.5703125" style="9" customWidth="1"/>
    <col min="46" max="46" width="13.28515625" style="9" customWidth="1"/>
    <col min="47" max="62" width="9.140625" style="9"/>
    <col min="63" max="63" width="24.28515625" style="9" bestFit="1" customWidth="1"/>
    <col min="64" max="16384" width="9.140625" style="9"/>
  </cols>
  <sheetData>
    <row r="1" spans="1:63" ht="30.75" thickBot="1" x14ac:dyDescent="0.3">
      <c r="A1" s="93" t="s">
        <v>527</v>
      </c>
      <c r="C1" s="112"/>
      <c r="F1" s="16" t="s">
        <v>86</v>
      </c>
      <c r="G1" s="16"/>
      <c r="H1" s="17" t="s">
        <v>87</v>
      </c>
      <c r="I1" s="16"/>
      <c r="L1" s="16"/>
      <c r="N1" s="112"/>
      <c r="Q1" s="16"/>
      <c r="R1" s="16"/>
      <c r="S1" s="16"/>
      <c r="AB1" s="11" t="s">
        <v>44</v>
      </c>
      <c r="BK1" s="9" t="s">
        <v>1</v>
      </c>
    </row>
    <row r="2" spans="1:63" ht="15.75" thickTop="1" x14ac:dyDescent="0.25">
      <c r="BK2" s="9" t="s">
        <v>2</v>
      </c>
    </row>
    <row r="3" spans="1:63" s="11" customFormat="1" ht="90" x14ac:dyDescent="0.25">
      <c r="A3" s="5" t="s">
        <v>23</v>
      </c>
      <c r="B3" s="109" t="s">
        <v>464</v>
      </c>
      <c r="C3" s="109" t="s">
        <v>507</v>
      </c>
      <c r="D3" s="5" t="s">
        <v>25</v>
      </c>
      <c r="E3" s="5" t="s">
        <v>27</v>
      </c>
      <c r="F3" s="109" t="s">
        <v>28</v>
      </c>
      <c r="G3" s="109" t="s">
        <v>507</v>
      </c>
      <c r="H3" s="5" t="s">
        <v>29</v>
      </c>
      <c r="I3" s="109" t="s">
        <v>507</v>
      </c>
      <c r="J3" s="5" t="s">
        <v>30</v>
      </c>
      <c r="K3" s="5" t="s">
        <v>31</v>
      </c>
      <c r="L3" s="109" t="s">
        <v>507</v>
      </c>
      <c r="M3" s="109" t="s">
        <v>32</v>
      </c>
      <c r="N3" s="109" t="s">
        <v>507</v>
      </c>
      <c r="O3" s="5" t="s">
        <v>34</v>
      </c>
      <c r="P3" s="5" t="s">
        <v>33</v>
      </c>
      <c r="Q3" s="109" t="s">
        <v>507</v>
      </c>
      <c r="R3" s="109" t="s">
        <v>511</v>
      </c>
      <c r="S3" s="109" t="s">
        <v>519</v>
      </c>
      <c r="T3" s="5" t="s">
        <v>35</v>
      </c>
      <c r="U3" s="5" t="s">
        <v>36</v>
      </c>
      <c r="V3" s="5" t="s">
        <v>37</v>
      </c>
      <c r="W3" s="5" t="s">
        <v>38</v>
      </c>
      <c r="X3" s="5" t="s">
        <v>39</v>
      </c>
      <c r="Y3" s="5" t="s">
        <v>40</v>
      </c>
      <c r="Z3" s="5" t="s">
        <v>41</v>
      </c>
      <c r="AA3" s="5" t="s">
        <v>42</v>
      </c>
      <c r="AB3" s="5" t="s">
        <v>45</v>
      </c>
      <c r="AC3" s="5" t="s">
        <v>46</v>
      </c>
      <c r="AD3" s="5" t="s">
        <v>83</v>
      </c>
      <c r="AE3" s="5" t="s">
        <v>84</v>
      </c>
      <c r="AF3" s="5" t="s">
        <v>47</v>
      </c>
      <c r="AG3" s="5" t="s">
        <v>48</v>
      </c>
      <c r="AH3" s="5" t="s">
        <v>49</v>
      </c>
      <c r="AI3" s="5" t="s">
        <v>50</v>
      </c>
      <c r="AJ3" s="109" t="s">
        <v>51</v>
      </c>
      <c r="AK3" s="5" t="s">
        <v>52</v>
      </c>
      <c r="AL3" s="5" t="s">
        <v>53</v>
      </c>
      <c r="AM3" s="5" t="s">
        <v>54</v>
      </c>
      <c r="AN3" s="5" t="s">
        <v>55</v>
      </c>
      <c r="AO3" s="5" t="s">
        <v>56</v>
      </c>
      <c r="AP3" s="5" t="s">
        <v>57</v>
      </c>
      <c r="AQ3" s="5" t="s">
        <v>58</v>
      </c>
      <c r="AR3" s="5" t="s">
        <v>59</v>
      </c>
      <c r="AS3" s="5" t="s">
        <v>78</v>
      </c>
      <c r="AT3" s="5" t="s">
        <v>77</v>
      </c>
      <c r="AU3" s="5"/>
      <c r="AV3" s="5"/>
      <c r="AW3" s="5"/>
      <c r="AX3" s="5"/>
      <c r="AY3" s="5"/>
      <c r="BK3" s="13" t="s">
        <v>3</v>
      </c>
    </row>
    <row r="4" spans="1:63" x14ac:dyDescent="0.25">
      <c r="A4" s="110"/>
      <c r="B4" s="110"/>
      <c r="C4" s="111"/>
      <c r="D4" s="110"/>
      <c r="E4" s="110"/>
      <c r="F4" s="125"/>
      <c r="G4" s="111"/>
      <c r="H4" s="114"/>
      <c r="I4" s="111"/>
      <c r="J4" s="114"/>
      <c r="K4" s="114"/>
      <c r="L4" s="111"/>
      <c r="M4" s="125"/>
      <c r="N4" s="111"/>
      <c r="O4" s="125"/>
      <c r="P4" s="125"/>
      <c r="Q4" s="111"/>
      <c r="R4" s="111"/>
      <c r="S4" s="111"/>
      <c r="T4" s="18">
        <f>IF(D4="Res Space Heat",VLOOKUP(K4,#REF!,4)*H4,IF(D4="Res AC",VLOOKUP(K4,#REF!,6)*H4,IF(D4="Res Lighting",VLOOKUP(K4,#REF!,8)*H4,IF(D4="Res Refrigeration",VLOOKUP(K4,#REF!,10)*H4,IF(D4="Res Water Heating",VLOOKUP(K4,#REF!,12)*H4,IF(D4="Res Dishwasher",VLOOKUP(K4,#REF!,14)*H4,IF(D4="Res Washer Dryer",VLOOKUP(K4,#REF!,16)*H4,IF(D4="Res Misc",VLOOKUP(K4,#REF!,18)*H4,IF(D4="Res Furnace Fan",VLOOKUP(K4,#REF!,20)*H4,IF(D4="NonRes Compressed Air",VLOOKUP(K4,#REF!,22)*H4,IF(D4="NonRes Cooking",VLOOKUP(K4,#REF!,24)*H4,IF(D4="NonRes Space Cooling",VLOOKUP(K4,#REF!,26)*H4,IF(D4="NonRes Exterior Lighting",VLOOKUP(K4,#REF!,28)*H4,IF(D4="NonRes Space Heating",VLOOKUP(K4,#REF!,30)*H4,IF(D4="NonRes Water Heating",VLOOKUP(K4,#REF!,32)*H4,IF(D4="NonRes Interior Lighting",VLOOKUP(K4,#REF!,34)*H4,IF(D4="NonRes Misc",VLOOKUP(K4,#REF!,36)*H4,IF(D4="NonRes Motors",VLOOKUP(K4,#REF!,38)*H4,IF(D4="NonRes Office Equipment",VLOOKUP(K4,#REF!,40)*H4,IF(D4="NonRes Process",VLOOKUP(K4,#REF!,42)*H4,IF(D4="NonRes Refrigeration",VLOOKUP(K4,#REF!,44)*H4,IF(D4="NonRes Ventilation",VLOOKUP(K4,#REF!,46)*H4,0))))))))))))))))))))))</f>
        <v>0</v>
      </c>
      <c r="U4" s="18">
        <f>IF(E4="Annual",VLOOKUP(K4,#REF!,4)*'3.6 - Open'!J4,IF(E4="Winter",VLOOKUP('3.6 - Open'!K4,#REF!,5)*'3.6 - Open'!J4,IF(E4="NA",0,0)))</f>
        <v>0</v>
      </c>
      <c r="V4" s="19">
        <f t="shared" ref="V4:V35" si="0">F4</f>
        <v>0</v>
      </c>
      <c r="W4" s="19">
        <f t="shared" ref="W4:W35" si="1">F4-V4</f>
        <v>0</v>
      </c>
      <c r="X4" s="19">
        <f t="shared" ref="X4:X35" si="2">M4</f>
        <v>0</v>
      </c>
      <c r="Y4" s="19">
        <f t="shared" ref="Y4:Y35" si="3">M4-X4</f>
        <v>0</v>
      </c>
      <c r="Z4" s="20" t="e">
        <f>(T4+U4+(PV(#REF!,'3.6 - Open'!K4,'3.6 - Open'!P4)*-1)+'3.6 - Open'!O4)/'3.6 - Open'!F4</f>
        <v>#REF!</v>
      </c>
      <c r="AA4" s="20" t="e">
        <f t="shared" ref="AA4:AA35" si="4">((T4+U4)/M4)</f>
        <v>#DIV/0!</v>
      </c>
      <c r="AB4" s="21">
        <f t="shared" ref="AB4:AB35" si="5">H4*B4</f>
        <v>0</v>
      </c>
      <c r="AC4" s="20">
        <f t="shared" ref="AC4:AC35" si="6">J4*B4</f>
        <v>0</v>
      </c>
      <c r="AD4" s="20">
        <f t="shared" ref="AD4:AD35" si="7">T4*B4</f>
        <v>0</v>
      </c>
      <c r="AE4" s="20">
        <f t="shared" ref="AE4:AE35" si="8">U4*B4</f>
        <v>0</v>
      </c>
      <c r="AF4" s="19">
        <f t="shared" ref="AF4:AF35" si="9">B4*V4</f>
        <v>0</v>
      </c>
      <c r="AG4" s="19">
        <f t="shared" ref="AG4:AG35" si="10">W4*B4</f>
        <v>0</v>
      </c>
      <c r="AH4" s="19">
        <f t="shared" ref="AH4:AH35" si="11">B4*X4</f>
        <v>0</v>
      </c>
      <c r="AI4" s="19">
        <f t="shared" ref="AI4:AI35" si="12">B4*Y4</f>
        <v>0</v>
      </c>
      <c r="AJ4" s="15">
        <f>AH4*0.15</f>
        <v>0</v>
      </c>
      <c r="AK4" s="19">
        <f>IF(AC4&gt;0,AJ4*(T4/(T4+U4)),AJ4)</f>
        <v>0</v>
      </c>
      <c r="AL4" s="19">
        <f>AJ4-AK4</f>
        <v>0</v>
      </c>
      <c r="AM4" s="19">
        <f t="shared" ref="AM4:AM35" si="13">O4*B4</f>
        <v>0</v>
      </c>
      <c r="AN4" s="19" t="e">
        <f t="shared" ref="AN4:AN35" si="14">IF(J4&lt;0,O4*B4,AM4*(T4/(T4+U4)))</f>
        <v>#DIV/0!</v>
      </c>
      <c r="AO4" s="19" t="e">
        <f>AM4-AN4</f>
        <v>#DIV/0!</v>
      </c>
      <c r="AP4" s="18" t="e">
        <f>-PV(#REF!,'3.6 - Open'!K4,'3.6 - Open'!P4)*'3.6 - Open'!B4</f>
        <v>#REF!</v>
      </c>
      <c r="AQ4" s="19" t="e">
        <f>AP4*(T4/(T4+U4))</f>
        <v>#REF!</v>
      </c>
      <c r="AR4" s="19" t="e">
        <f>AP4-AQ4</f>
        <v>#REF!</v>
      </c>
      <c r="AS4" s="18" t="e">
        <f>B4*H4*K4*#REF!</f>
        <v>#REF!</v>
      </c>
      <c r="AT4" s="19" t="e">
        <f>B4*J4*K4*#REF!</f>
        <v>#REF!</v>
      </c>
      <c r="AU4" s="6"/>
      <c r="AV4" s="6"/>
      <c r="AW4" s="6"/>
      <c r="AX4" s="6"/>
      <c r="AY4" s="6"/>
      <c r="BK4" s="8" t="s">
        <v>4</v>
      </c>
    </row>
    <row r="5" spans="1:63" x14ac:dyDescent="0.25">
      <c r="A5" s="110"/>
      <c r="B5" s="110"/>
      <c r="C5" s="111"/>
      <c r="D5" s="110"/>
      <c r="E5" s="110"/>
      <c r="F5" s="125"/>
      <c r="G5" s="111"/>
      <c r="H5" s="114"/>
      <c r="I5" s="111"/>
      <c r="J5" s="114"/>
      <c r="K5" s="114"/>
      <c r="L5" s="111"/>
      <c r="M5" s="125"/>
      <c r="N5" s="111"/>
      <c r="O5" s="125"/>
      <c r="P5" s="125"/>
      <c r="Q5" s="111"/>
      <c r="R5" s="111"/>
      <c r="S5" s="111"/>
      <c r="T5" s="18">
        <f>IF(D5="Res Space Heat",VLOOKUP(K5,#REF!,4)*H5,IF(D5="Res AC",VLOOKUP(K5,#REF!,6)*H5,IF(D5="Res Lighting",VLOOKUP(K5,#REF!,8)*H5,IF(D5="Res Refrigeration",VLOOKUP(K5,#REF!,10)*H5,IF(D5="Res Water Heating",VLOOKUP(K5,#REF!,12)*H5,IF(D5="Res Dishwasher",VLOOKUP(K5,#REF!,14)*H5,IF(D5="Res Washer Dryer",VLOOKUP(K5,#REF!,16)*H5,IF(D5="Res Misc",VLOOKUP(K5,#REF!,18)*H5,IF(D5="Res Furnace Fan",VLOOKUP(K5,#REF!,20)*H5,IF(D5="NonRes Compressed Air",VLOOKUP(K5,#REF!,22)*H5,IF(D5="NonRes Cooking",VLOOKUP(K5,#REF!,24)*H5,IF(D5="NonRes Space Cooling",VLOOKUP(K5,#REF!,26)*H5,IF(D5="NonRes Exterior Lighting",VLOOKUP(K5,#REF!,28)*H5,IF(D5="NonRes Space Heating",VLOOKUP(K5,#REF!,30)*H5,IF(D5="NonRes Water Heating",VLOOKUP(K5,#REF!,32)*H5,IF(D5="NonRes Interior Lighting",VLOOKUP(K5,#REF!,34)*H5,IF(D5="NonRes Misc",VLOOKUP(K5,#REF!,36)*H5,IF(D5="NonRes Motors",VLOOKUP(K5,#REF!,38)*H5,IF(D5="NonRes Office Equipment",VLOOKUP(K5,#REF!,40)*H5,IF(D5="NonRes Process",VLOOKUP(K5,#REF!,42)*H5,IF(D5="NonRes Refrigeration",VLOOKUP(K5,#REF!,44)*H5,IF(D5="NonRes Ventilation",VLOOKUP(K5,#REF!,46)*H5,0))))))))))))))))))))))</f>
        <v>0</v>
      </c>
      <c r="U5" s="18">
        <f>IF(E5="Annual",VLOOKUP(K5,#REF!,4)*'3.6 - Open'!J5,IF(E5="Winter",VLOOKUP('3.6 - Open'!K5,#REF!,5)*'3.6 - Open'!J5,IF(E5="NA",0,0)))</f>
        <v>0</v>
      </c>
      <c r="V5" s="19">
        <f t="shared" si="0"/>
        <v>0</v>
      </c>
      <c r="W5" s="19">
        <f t="shared" si="1"/>
        <v>0</v>
      </c>
      <c r="X5" s="19">
        <f t="shared" si="2"/>
        <v>0</v>
      </c>
      <c r="Y5" s="19">
        <f t="shared" si="3"/>
        <v>0</v>
      </c>
      <c r="Z5" s="20" t="e">
        <f>(T5+U5+(PV(#REF!,'3.6 - Open'!K5,'3.6 - Open'!P5)*-1)+'3.6 - Open'!O5)/'3.6 - Open'!F5</f>
        <v>#REF!</v>
      </c>
      <c r="AA5" s="20" t="e">
        <f t="shared" si="4"/>
        <v>#DIV/0!</v>
      </c>
      <c r="AB5" s="21">
        <f t="shared" si="5"/>
        <v>0</v>
      </c>
      <c r="AC5" s="20">
        <f t="shared" si="6"/>
        <v>0</v>
      </c>
      <c r="AD5" s="20">
        <f t="shared" si="7"/>
        <v>0</v>
      </c>
      <c r="AE5" s="20">
        <f t="shared" si="8"/>
        <v>0</v>
      </c>
      <c r="AF5" s="19">
        <f t="shared" si="9"/>
        <v>0</v>
      </c>
      <c r="AG5" s="19">
        <f t="shared" si="10"/>
        <v>0</v>
      </c>
      <c r="AH5" s="19">
        <f t="shared" si="11"/>
        <v>0</v>
      </c>
      <c r="AI5" s="19">
        <f t="shared" si="12"/>
        <v>0</v>
      </c>
      <c r="AJ5" s="15">
        <f>AH5*0.15</f>
        <v>0</v>
      </c>
      <c r="AK5" s="19">
        <f t="shared" ref="AK5:AK68" si="15">IF(AC5&gt;0,AJ5*(T5/(T5+U5)),AJ5)</f>
        <v>0</v>
      </c>
      <c r="AL5" s="19">
        <f t="shared" ref="AL5:AL68" si="16">AJ5-AK5</f>
        <v>0</v>
      </c>
      <c r="AM5" s="19">
        <f t="shared" si="13"/>
        <v>0</v>
      </c>
      <c r="AN5" s="19" t="e">
        <f t="shared" si="14"/>
        <v>#DIV/0!</v>
      </c>
      <c r="AO5" s="19" t="e">
        <f t="shared" ref="AO5:AO68" si="17">AM5-AN5</f>
        <v>#DIV/0!</v>
      </c>
      <c r="AP5" s="18" t="e">
        <f>-PV(#REF!,'3.6 - Open'!K5,'3.6 - Open'!P5)*'3.6 - Open'!B5</f>
        <v>#REF!</v>
      </c>
      <c r="AQ5" s="19" t="e">
        <f t="shared" ref="AQ5:AQ68" si="18">AP5*(T5/(T5+U5))</f>
        <v>#REF!</v>
      </c>
      <c r="AR5" s="19" t="e">
        <f t="shared" ref="AR5:AR68" si="19">AP5-AQ5</f>
        <v>#REF!</v>
      </c>
      <c r="AS5" s="18" t="e">
        <f>B5*H5*K5*#REF!</f>
        <v>#REF!</v>
      </c>
      <c r="AT5" s="19" t="e">
        <f>B5*J5*K5*#REF!</f>
        <v>#REF!</v>
      </c>
      <c r="AU5" s="6"/>
      <c r="AV5" s="6"/>
      <c r="AW5" s="6"/>
      <c r="AX5" s="6"/>
      <c r="AY5" s="6"/>
      <c r="BK5" s="8" t="s">
        <v>5</v>
      </c>
    </row>
    <row r="6" spans="1:63" x14ac:dyDescent="0.25">
      <c r="A6" s="110"/>
      <c r="B6" s="110"/>
      <c r="C6" s="111"/>
      <c r="D6" s="110"/>
      <c r="E6" s="110"/>
      <c r="F6" s="125"/>
      <c r="G6" s="111"/>
      <c r="H6" s="114"/>
      <c r="I6" s="111"/>
      <c r="J6" s="114"/>
      <c r="K6" s="114"/>
      <c r="L6" s="111"/>
      <c r="M6" s="125"/>
      <c r="N6" s="111"/>
      <c r="O6" s="125"/>
      <c r="P6" s="125"/>
      <c r="Q6" s="111"/>
      <c r="R6" s="111"/>
      <c r="S6" s="111"/>
      <c r="T6" s="18">
        <f>IF(D6="Res Space Heat",VLOOKUP(K6,#REF!,4)*H6,IF(D6="Res AC",VLOOKUP(K6,#REF!,6)*H6,IF(D6="Res Lighting",VLOOKUP(K6,#REF!,8)*H6,IF(D6="Res Refrigeration",VLOOKUP(K6,#REF!,10)*H6,IF(D6="Res Water Heating",VLOOKUP(K6,#REF!,12)*H6,IF(D6="Res Dishwasher",VLOOKUP(K6,#REF!,14)*H6,IF(D6="Res Washer Dryer",VLOOKUP(K6,#REF!,16)*H6,IF(D6="Res Misc",VLOOKUP(K6,#REF!,18)*H6,IF(D6="Res Furnace Fan",VLOOKUP(K6,#REF!,20)*H6,IF(D6="NonRes Compressed Air",VLOOKUP(K6,#REF!,22)*H6,IF(D6="NonRes Cooking",VLOOKUP(K6,#REF!,24)*H6,IF(D6="NonRes Space Cooling",VLOOKUP(K6,#REF!,26)*H6,IF(D6="NonRes Exterior Lighting",VLOOKUP(K6,#REF!,28)*H6,IF(D6="NonRes Space Heating",VLOOKUP(K6,#REF!,30)*H6,IF(D6="NonRes Water Heating",VLOOKUP(K6,#REF!,32)*H6,IF(D6="NonRes Interior Lighting",VLOOKUP(K6,#REF!,34)*H6,IF(D6="NonRes Misc",VLOOKUP(K6,#REF!,36)*H6,IF(D6="NonRes Motors",VLOOKUP(K6,#REF!,38)*H6,IF(D6="NonRes Office Equipment",VLOOKUP(K6,#REF!,40)*H6,IF(D6="NonRes Process",VLOOKUP(K6,#REF!,42)*H6,IF(D6="NonRes Refrigeration",VLOOKUP(K6,#REF!,44)*H6,IF(D6="NonRes Ventilation",VLOOKUP(K6,#REF!,46)*H6,0))))))))))))))))))))))</f>
        <v>0</v>
      </c>
      <c r="U6" s="18">
        <f>IF(E6="Annual",VLOOKUP(K6,#REF!,4)*'3.6 - Open'!J6,IF(E6="Winter",VLOOKUP('3.6 - Open'!K6,#REF!,5)*'3.6 - Open'!J6,IF(E6="NA",0,0)))</f>
        <v>0</v>
      </c>
      <c r="V6" s="19">
        <f t="shared" si="0"/>
        <v>0</v>
      </c>
      <c r="W6" s="19">
        <f t="shared" si="1"/>
        <v>0</v>
      </c>
      <c r="X6" s="19">
        <f t="shared" si="2"/>
        <v>0</v>
      </c>
      <c r="Y6" s="19">
        <f t="shared" si="3"/>
        <v>0</v>
      </c>
      <c r="Z6" s="20" t="e">
        <f>(T6+U6+(PV(#REF!,'3.6 - Open'!K6,'3.6 - Open'!P6)*-1)+'3.6 - Open'!O6)/'3.6 - Open'!F6</f>
        <v>#REF!</v>
      </c>
      <c r="AA6" s="20" t="e">
        <f t="shared" si="4"/>
        <v>#DIV/0!</v>
      </c>
      <c r="AB6" s="21">
        <f t="shared" si="5"/>
        <v>0</v>
      </c>
      <c r="AC6" s="20">
        <f t="shared" si="6"/>
        <v>0</v>
      </c>
      <c r="AD6" s="20">
        <f t="shared" si="7"/>
        <v>0</v>
      </c>
      <c r="AE6" s="20">
        <f t="shared" si="8"/>
        <v>0</v>
      </c>
      <c r="AF6" s="19">
        <f t="shared" si="9"/>
        <v>0</v>
      </c>
      <c r="AG6" s="19">
        <f t="shared" si="10"/>
        <v>0</v>
      </c>
      <c r="AH6" s="19">
        <f t="shared" si="11"/>
        <v>0</v>
      </c>
      <c r="AI6" s="19">
        <f t="shared" si="12"/>
        <v>0</v>
      </c>
      <c r="AJ6" s="15">
        <f>AH6*0.15</f>
        <v>0</v>
      </c>
      <c r="AK6" s="19">
        <f t="shared" si="15"/>
        <v>0</v>
      </c>
      <c r="AL6" s="19">
        <f t="shared" si="16"/>
        <v>0</v>
      </c>
      <c r="AM6" s="19">
        <f t="shared" si="13"/>
        <v>0</v>
      </c>
      <c r="AN6" s="19" t="e">
        <f t="shared" si="14"/>
        <v>#DIV/0!</v>
      </c>
      <c r="AO6" s="19" t="e">
        <f t="shared" si="17"/>
        <v>#DIV/0!</v>
      </c>
      <c r="AP6" s="18" t="e">
        <f>-PV(#REF!,'3.6 - Open'!K6,'3.6 - Open'!P6)*'3.6 - Open'!B6</f>
        <v>#REF!</v>
      </c>
      <c r="AQ6" s="19" t="e">
        <f t="shared" si="18"/>
        <v>#REF!</v>
      </c>
      <c r="AR6" s="19" t="e">
        <f t="shared" si="19"/>
        <v>#REF!</v>
      </c>
      <c r="AS6" s="18" t="e">
        <f>B6*H6*K6*#REF!</f>
        <v>#REF!</v>
      </c>
      <c r="AT6" s="19" t="e">
        <f>B6*J6*K6*#REF!</f>
        <v>#REF!</v>
      </c>
      <c r="AU6" s="6"/>
      <c r="AV6" s="6"/>
      <c r="AW6" s="6"/>
      <c r="AX6" s="6"/>
      <c r="AY6" s="6"/>
      <c r="BK6" s="8" t="s">
        <v>6</v>
      </c>
    </row>
    <row r="7" spans="1:63" x14ac:dyDescent="0.25">
      <c r="A7" s="110"/>
      <c r="B7" s="110"/>
      <c r="C7" s="125"/>
      <c r="D7" s="110"/>
      <c r="E7" s="110" t="s">
        <v>24</v>
      </c>
      <c r="F7" s="125"/>
      <c r="G7" s="125"/>
      <c r="H7" s="110"/>
      <c r="I7" s="125"/>
      <c r="J7" s="110"/>
      <c r="K7" s="110"/>
      <c r="L7" s="125"/>
      <c r="M7" s="125"/>
      <c r="N7" s="125"/>
      <c r="O7" s="125"/>
      <c r="P7" s="125"/>
      <c r="Q7" s="125"/>
      <c r="R7" s="125"/>
      <c r="S7" s="125"/>
      <c r="T7" s="18">
        <f>IF(D7="Res Space Heat",VLOOKUP(K7,#REF!,4)*H7,IF(D7="Res AC",VLOOKUP(K7,#REF!,6)*H7,IF(D7="Res Lighting",VLOOKUP(K7,#REF!,8)*H7,IF(D7="Res Refrigeration",VLOOKUP(K7,#REF!,10)*H7,IF(D7="Res Water Heating",VLOOKUP(K7,#REF!,12)*H7,IF(D7="Res Dishwasher",VLOOKUP(K7,#REF!,14)*H7,IF(D7="Res Washer Dryer",VLOOKUP(K7,#REF!,16)*H7,IF(D7="Res Misc",VLOOKUP(K7,#REF!,18)*H7,IF(D7="Res Furnace Fan",VLOOKUP(K7,#REF!,20)*H7,IF(D7="NonRes Compressed Air",VLOOKUP(K7,#REF!,22)*H7,IF(D7="NonRes Cooking",VLOOKUP(K7,#REF!,24)*H7,IF(D7="NonRes Space Cooling",VLOOKUP(K7,#REF!,26)*H7,IF(D7="NonRes Exterior Lighting",VLOOKUP(K7,#REF!,28)*H7,IF(D7="NonRes Space Heating",VLOOKUP(K7,#REF!,30)*H7,IF(D7="NonRes Water Heating",VLOOKUP(K7,#REF!,32)*H7,IF(D7="NonRes Interior Lighting",VLOOKUP(K7,#REF!,34)*H7,IF(D7="NonRes Misc",VLOOKUP(K7,#REF!,36)*H7,IF(D7="NonRes Motors",VLOOKUP(K7,#REF!,38)*H7,IF(D7="NonRes Office Equipment",VLOOKUP(K7,#REF!,40)*H7,IF(D7="NonRes Process",VLOOKUP(K7,#REF!,42)*H7,IF(D7="NonRes Refrigeration",VLOOKUP(K7,#REF!,44)*H7,IF(D7="NonRes Ventilation",VLOOKUP(K7,#REF!,46)*H7,0))))))))))))))))))))))</f>
        <v>0</v>
      </c>
      <c r="U7" s="18">
        <f>IF(E7="Annual",VLOOKUP(K7,#REF!,4)*'3.6 - Open'!J7,IF(E7="Winter",VLOOKUP('3.6 - Open'!K7,#REF!,5)*'3.6 - Open'!J7,IF(E7="NA",0,0)))</f>
        <v>0</v>
      </c>
      <c r="V7" s="19">
        <f t="shared" si="0"/>
        <v>0</v>
      </c>
      <c r="W7" s="19">
        <f t="shared" si="1"/>
        <v>0</v>
      </c>
      <c r="X7" s="19">
        <f t="shared" si="2"/>
        <v>0</v>
      </c>
      <c r="Y7" s="19">
        <f t="shared" si="3"/>
        <v>0</v>
      </c>
      <c r="Z7" s="20" t="e">
        <f>(T7+U7+(PV(#REF!,'3.6 - Open'!K7,'3.6 - Open'!P7)*-1)+'3.6 - Open'!O7)/'3.6 - Open'!F7</f>
        <v>#REF!</v>
      </c>
      <c r="AA7" s="20" t="e">
        <f t="shared" si="4"/>
        <v>#DIV/0!</v>
      </c>
      <c r="AB7" s="21">
        <f t="shared" si="5"/>
        <v>0</v>
      </c>
      <c r="AC7" s="20">
        <f t="shared" si="6"/>
        <v>0</v>
      </c>
      <c r="AD7" s="20">
        <f t="shared" si="7"/>
        <v>0</v>
      </c>
      <c r="AE7" s="20">
        <f t="shared" si="8"/>
        <v>0</v>
      </c>
      <c r="AF7" s="19">
        <f t="shared" si="9"/>
        <v>0</v>
      </c>
      <c r="AG7" s="19">
        <f t="shared" si="10"/>
        <v>0</v>
      </c>
      <c r="AH7" s="19">
        <f t="shared" si="11"/>
        <v>0</v>
      </c>
      <c r="AI7" s="19">
        <f t="shared" si="12"/>
        <v>0</v>
      </c>
      <c r="AJ7" s="15">
        <v>0</v>
      </c>
      <c r="AK7" s="19">
        <f t="shared" si="15"/>
        <v>0</v>
      </c>
      <c r="AL7" s="19">
        <f t="shared" si="16"/>
        <v>0</v>
      </c>
      <c r="AM7" s="19">
        <f t="shared" si="13"/>
        <v>0</v>
      </c>
      <c r="AN7" s="19" t="e">
        <f t="shared" si="14"/>
        <v>#DIV/0!</v>
      </c>
      <c r="AO7" s="19" t="e">
        <f t="shared" si="17"/>
        <v>#DIV/0!</v>
      </c>
      <c r="AP7" s="18" t="e">
        <f>-PV(#REF!,'3.6 - Open'!K7,'3.6 - Open'!P7)*'3.6 - Open'!B7</f>
        <v>#REF!</v>
      </c>
      <c r="AQ7" s="19" t="e">
        <f t="shared" si="18"/>
        <v>#REF!</v>
      </c>
      <c r="AR7" s="19" t="e">
        <f t="shared" si="19"/>
        <v>#REF!</v>
      </c>
      <c r="AS7" s="18" t="e">
        <f>B7*H7*K7*#REF!</f>
        <v>#REF!</v>
      </c>
      <c r="AT7" s="19" t="e">
        <f>B7*J7*K7*#REF!</f>
        <v>#REF!</v>
      </c>
      <c r="AU7" s="6"/>
      <c r="AV7" s="6"/>
      <c r="AW7" s="6"/>
      <c r="AX7" s="6"/>
      <c r="AY7" s="6"/>
      <c r="BK7" s="8" t="s">
        <v>7</v>
      </c>
    </row>
    <row r="8" spans="1:63" x14ac:dyDescent="0.25">
      <c r="A8" s="110"/>
      <c r="B8" s="110"/>
      <c r="C8" s="125"/>
      <c r="D8" s="110"/>
      <c r="E8" s="110" t="s">
        <v>24</v>
      </c>
      <c r="F8" s="125"/>
      <c r="G8" s="125"/>
      <c r="H8" s="110"/>
      <c r="I8" s="125"/>
      <c r="J8" s="110"/>
      <c r="K8" s="110"/>
      <c r="L8" s="125"/>
      <c r="M8" s="125"/>
      <c r="N8" s="125"/>
      <c r="O8" s="125"/>
      <c r="P8" s="125"/>
      <c r="Q8" s="125"/>
      <c r="R8" s="125"/>
      <c r="S8" s="125"/>
      <c r="T8" s="18">
        <f>IF(D8="Res Space Heat",VLOOKUP(K8,#REF!,4)*H8,IF(D8="Res AC",VLOOKUP(K8,#REF!,6)*H8,IF(D8="Res Lighting",VLOOKUP(K8,#REF!,8)*H8,IF(D8="Res Refrigeration",VLOOKUP(K8,#REF!,10)*H8,IF(D8="Res Water Heating",VLOOKUP(K8,#REF!,12)*H8,IF(D8="Res Dishwasher",VLOOKUP(K8,#REF!,14)*H8,IF(D8="Res Washer Dryer",VLOOKUP(K8,#REF!,16)*H8,IF(D8="Res Misc",VLOOKUP(K8,#REF!,18)*H8,IF(D8="Res Furnace Fan",VLOOKUP(K8,#REF!,20)*H8,IF(D8="NonRes Compressed Air",VLOOKUP(K8,#REF!,22)*H8,IF(D8="NonRes Cooking",VLOOKUP(K8,#REF!,24)*H8,IF(D8="NonRes Space Cooling",VLOOKUP(K8,#REF!,26)*H8,IF(D8="NonRes Exterior Lighting",VLOOKUP(K8,#REF!,28)*H8,IF(D8="NonRes Space Heating",VLOOKUP(K8,#REF!,30)*H8,IF(D8="NonRes Water Heating",VLOOKUP(K8,#REF!,32)*H8,IF(D8="NonRes Interior Lighting",VLOOKUP(K8,#REF!,34)*H8,IF(D8="NonRes Misc",VLOOKUP(K8,#REF!,36)*H8,IF(D8="NonRes Motors",VLOOKUP(K8,#REF!,38)*H8,IF(D8="NonRes Office Equipment",VLOOKUP(K8,#REF!,40)*H8,IF(D8="NonRes Process",VLOOKUP(K8,#REF!,42)*H8,IF(D8="NonRes Refrigeration",VLOOKUP(K8,#REF!,44)*H8,IF(D8="NonRes Ventilation",VLOOKUP(K8,#REF!,46)*H8,0))))))))))))))))))))))</f>
        <v>0</v>
      </c>
      <c r="U8" s="18">
        <f>IF(E8="Annual",VLOOKUP(K8,#REF!,4)*'3.6 - Open'!J8,IF(E8="Winter",VLOOKUP('3.6 - Open'!K8,#REF!,5)*'3.6 - Open'!J8,IF(E8="NA",0,0)))</f>
        <v>0</v>
      </c>
      <c r="V8" s="19">
        <f t="shared" si="0"/>
        <v>0</v>
      </c>
      <c r="W8" s="19">
        <f t="shared" si="1"/>
        <v>0</v>
      </c>
      <c r="X8" s="19">
        <f t="shared" si="2"/>
        <v>0</v>
      </c>
      <c r="Y8" s="19">
        <f t="shared" si="3"/>
        <v>0</v>
      </c>
      <c r="Z8" s="20" t="e">
        <f>(T8+U8+(PV(#REF!,'3.6 - Open'!K8,'3.6 - Open'!P8)*-1)+'3.6 - Open'!O8)/'3.6 - Open'!F8</f>
        <v>#REF!</v>
      </c>
      <c r="AA8" s="20" t="e">
        <f t="shared" si="4"/>
        <v>#DIV/0!</v>
      </c>
      <c r="AB8" s="21">
        <f t="shared" si="5"/>
        <v>0</v>
      </c>
      <c r="AC8" s="20">
        <f t="shared" si="6"/>
        <v>0</v>
      </c>
      <c r="AD8" s="20">
        <f t="shared" si="7"/>
        <v>0</v>
      </c>
      <c r="AE8" s="20">
        <f t="shared" si="8"/>
        <v>0</v>
      </c>
      <c r="AF8" s="19">
        <f t="shared" si="9"/>
        <v>0</v>
      </c>
      <c r="AG8" s="19">
        <f t="shared" si="10"/>
        <v>0</v>
      </c>
      <c r="AH8" s="19">
        <f t="shared" si="11"/>
        <v>0</v>
      </c>
      <c r="AI8" s="19">
        <f t="shared" si="12"/>
        <v>0</v>
      </c>
      <c r="AJ8" s="15">
        <v>0</v>
      </c>
      <c r="AK8" s="19">
        <f t="shared" si="15"/>
        <v>0</v>
      </c>
      <c r="AL8" s="19">
        <f t="shared" si="16"/>
        <v>0</v>
      </c>
      <c r="AM8" s="19">
        <f t="shared" si="13"/>
        <v>0</v>
      </c>
      <c r="AN8" s="19" t="e">
        <f t="shared" si="14"/>
        <v>#DIV/0!</v>
      </c>
      <c r="AO8" s="19" t="e">
        <f t="shared" si="17"/>
        <v>#DIV/0!</v>
      </c>
      <c r="AP8" s="18" t="e">
        <f>-PV(#REF!,'3.6 - Open'!K8,'3.6 - Open'!P8)*'3.6 - Open'!B8</f>
        <v>#REF!</v>
      </c>
      <c r="AQ8" s="19" t="e">
        <f t="shared" si="18"/>
        <v>#REF!</v>
      </c>
      <c r="AR8" s="19" t="e">
        <f t="shared" si="19"/>
        <v>#REF!</v>
      </c>
      <c r="AS8" s="18" t="e">
        <f>B8*H8*K8*#REF!</f>
        <v>#REF!</v>
      </c>
      <c r="AT8" s="19" t="e">
        <f>B8*J8*K8*#REF!</f>
        <v>#REF!</v>
      </c>
      <c r="AU8" s="6"/>
      <c r="AV8" s="6"/>
      <c r="AW8" s="6"/>
      <c r="AX8" s="6"/>
      <c r="AY8" s="6"/>
      <c r="BK8" s="8" t="s">
        <v>8</v>
      </c>
    </row>
    <row r="9" spans="1:63" x14ac:dyDescent="0.25">
      <c r="A9" s="110"/>
      <c r="B9" s="110"/>
      <c r="C9" s="125"/>
      <c r="D9" s="110"/>
      <c r="E9" s="110" t="s">
        <v>24</v>
      </c>
      <c r="F9" s="125"/>
      <c r="G9" s="125"/>
      <c r="H9" s="110"/>
      <c r="I9" s="125"/>
      <c r="J9" s="110"/>
      <c r="K9" s="110"/>
      <c r="L9" s="125"/>
      <c r="M9" s="125"/>
      <c r="N9" s="125"/>
      <c r="O9" s="125"/>
      <c r="P9" s="125"/>
      <c r="Q9" s="125"/>
      <c r="R9" s="125"/>
      <c r="S9" s="125"/>
      <c r="T9" s="18">
        <f>IF(D9="Res Space Heat",VLOOKUP(K9,#REF!,4)*H9,IF(D9="Res AC",VLOOKUP(K9,#REF!,6)*H9,IF(D9="Res Lighting",VLOOKUP(K9,#REF!,8)*H9,IF(D9="Res Refrigeration",VLOOKUP(K9,#REF!,10)*H9,IF(D9="Res Water Heating",VLOOKUP(K9,#REF!,12)*H9,IF(D9="Res Dishwasher",VLOOKUP(K9,#REF!,14)*H9,IF(D9="Res Washer Dryer",VLOOKUP(K9,#REF!,16)*H9,IF(D9="Res Misc",VLOOKUP(K9,#REF!,18)*H9,IF(D9="Res Furnace Fan",VLOOKUP(K9,#REF!,20)*H9,IF(D9="NonRes Compressed Air",VLOOKUP(K9,#REF!,22)*H9,IF(D9="NonRes Cooking",VLOOKUP(K9,#REF!,24)*H9,IF(D9="NonRes Space Cooling",VLOOKUP(K9,#REF!,26)*H9,IF(D9="NonRes Exterior Lighting",VLOOKUP(K9,#REF!,28)*H9,IF(D9="NonRes Space Heating",VLOOKUP(K9,#REF!,30)*H9,IF(D9="NonRes Water Heating",VLOOKUP(K9,#REF!,32)*H9,IF(D9="NonRes Interior Lighting",VLOOKUP(K9,#REF!,34)*H9,IF(D9="NonRes Misc",VLOOKUP(K9,#REF!,36)*H9,IF(D9="NonRes Motors",VLOOKUP(K9,#REF!,38)*H9,IF(D9="NonRes Office Equipment",VLOOKUP(K9,#REF!,40)*H9,IF(D9="NonRes Process",VLOOKUP(K9,#REF!,42)*H9,IF(D9="NonRes Refrigeration",VLOOKUP(K9,#REF!,44)*H9,IF(D9="NonRes Ventilation",VLOOKUP(K9,#REF!,46)*H9,0))))))))))))))))))))))</f>
        <v>0</v>
      </c>
      <c r="U9" s="18">
        <f>IF(E9="Annual",VLOOKUP(K9,#REF!,4)*'3.6 - Open'!J9,IF(E9="Winter",VLOOKUP('3.6 - Open'!K9,#REF!,5)*'3.6 - Open'!J9,IF(E9="NA",0,0)))</f>
        <v>0</v>
      </c>
      <c r="V9" s="19">
        <f t="shared" si="0"/>
        <v>0</v>
      </c>
      <c r="W9" s="19">
        <f t="shared" si="1"/>
        <v>0</v>
      </c>
      <c r="X9" s="19">
        <f t="shared" si="2"/>
        <v>0</v>
      </c>
      <c r="Y9" s="19">
        <f t="shared" si="3"/>
        <v>0</v>
      </c>
      <c r="Z9" s="20" t="e">
        <f>(T9+U9+(PV(#REF!,'3.6 - Open'!K9,'3.6 - Open'!P9)*-1)+'3.6 - Open'!O9)/'3.6 - Open'!F9</f>
        <v>#REF!</v>
      </c>
      <c r="AA9" s="20" t="e">
        <f t="shared" si="4"/>
        <v>#DIV/0!</v>
      </c>
      <c r="AB9" s="21">
        <f t="shared" si="5"/>
        <v>0</v>
      </c>
      <c r="AC9" s="20">
        <f t="shared" si="6"/>
        <v>0</v>
      </c>
      <c r="AD9" s="20">
        <f t="shared" si="7"/>
        <v>0</v>
      </c>
      <c r="AE9" s="20">
        <f t="shared" si="8"/>
        <v>0</v>
      </c>
      <c r="AF9" s="19">
        <f t="shared" si="9"/>
        <v>0</v>
      </c>
      <c r="AG9" s="19">
        <f t="shared" si="10"/>
        <v>0</v>
      </c>
      <c r="AH9" s="19">
        <f t="shared" si="11"/>
        <v>0</v>
      </c>
      <c r="AI9" s="19">
        <f t="shared" si="12"/>
        <v>0</v>
      </c>
      <c r="AJ9" s="15">
        <v>0</v>
      </c>
      <c r="AK9" s="19">
        <f t="shared" si="15"/>
        <v>0</v>
      </c>
      <c r="AL9" s="19">
        <f t="shared" si="16"/>
        <v>0</v>
      </c>
      <c r="AM9" s="19">
        <f t="shared" si="13"/>
        <v>0</v>
      </c>
      <c r="AN9" s="19" t="e">
        <f t="shared" si="14"/>
        <v>#DIV/0!</v>
      </c>
      <c r="AO9" s="19" t="e">
        <f t="shared" si="17"/>
        <v>#DIV/0!</v>
      </c>
      <c r="AP9" s="18" t="e">
        <f>-PV(#REF!,'3.6 - Open'!K9,'3.6 - Open'!P9)*'3.6 - Open'!B9</f>
        <v>#REF!</v>
      </c>
      <c r="AQ9" s="19" t="e">
        <f t="shared" si="18"/>
        <v>#REF!</v>
      </c>
      <c r="AR9" s="19" t="e">
        <f t="shared" si="19"/>
        <v>#REF!</v>
      </c>
      <c r="AS9" s="18" t="e">
        <f>B9*H9*K9*#REF!</f>
        <v>#REF!</v>
      </c>
      <c r="AT9" s="19" t="e">
        <f>B9*J9*K9*#REF!</f>
        <v>#REF!</v>
      </c>
      <c r="AU9" s="6"/>
      <c r="AV9" s="6"/>
      <c r="AW9" s="6"/>
      <c r="AX9" s="6"/>
      <c r="AY9" s="6"/>
      <c r="BK9" s="8" t="s">
        <v>9</v>
      </c>
    </row>
    <row r="10" spans="1:63" x14ac:dyDescent="0.25">
      <c r="A10" s="110"/>
      <c r="B10" s="110"/>
      <c r="C10" s="125"/>
      <c r="D10" s="110"/>
      <c r="E10" s="110" t="s">
        <v>24</v>
      </c>
      <c r="F10" s="125"/>
      <c r="G10" s="125"/>
      <c r="H10" s="110"/>
      <c r="I10" s="125"/>
      <c r="J10" s="110"/>
      <c r="K10" s="110"/>
      <c r="L10" s="125"/>
      <c r="M10" s="125"/>
      <c r="N10" s="125"/>
      <c r="O10" s="125"/>
      <c r="P10" s="125"/>
      <c r="Q10" s="125"/>
      <c r="R10" s="125"/>
      <c r="S10" s="125"/>
      <c r="T10" s="18">
        <f>IF(D10="Res Space Heat",VLOOKUP(K10,#REF!,4)*H10,IF(D10="Res AC",VLOOKUP(K10,#REF!,6)*H10,IF(D10="Res Lighting",VLOOKUP(K10,#REF!,8)*H10,IF(D10="Res Refrigeration",VLOOKUP(K10,#REF!,10)*H10,IF(D10="Res Water Heating",VLOOKUP(K10,#REF!,12)*H10,IF(D10="Res Dishwasher",VLOOKUP(K10,#REF!,14)*H10,IF(D10="Res Washer Dryer",VLOOKUP(K10,#REF!,16)*H10,IF(D10="Res Misc",VLOOKUP(K10,#REF!,18)*H10,IF(D10="Res Furnace Fan",VLOOKUP(K10,#REF!,20)*H10,IF(D10="NonRes Compressed Air",VLOOKUP(K10,#REF!,22)*H10,IF(D10="NonRes Cooking",VLOOKUP(K10,#REF!,24)*H10,IF(D10="NonRes Space Cooling",VLOOKUP(K10,#REF!,26)*H10,IF(D10="NonRes Exterior Lighting",VLOOKUP(K10,#REF!,28)*H10,IF(D10="NonRes Space Heating",VLOOKUP(K10,#REF!,30)*H10,IF(D10="NonRes Water Heating",VLOOKUP(K10,#REF!,32)*H10,IF(D10="NonRes Interior Lighting",VLOOKUP(K10,#REF!,34)*H10,IF(D10="NonRes Misc",VLOOKUP(K10,#REF!,36)*H10,IF(D10="NonRes Motors",VLOOKUP(K10,#REF!,38)*H10,IF(D10="NonRes Office Equipment",VLOOKUP(K10,#REF!,40)*H10,IF(D10="NonRes Process",VLOOKUP(K10,#REF!,42)*H10,IF(D10="NonRes Refrigeration",VLOOKUP(K10,#REF!,44)*H10,IF(D10="NonRes Ventilation",VLOOKUP(K10,#REF!,46)*H10,0))))))))))))))))))))))</f>
        <v>0</v>
      </c>
      <c r="U10" s="18">
        <f>IF(E10="Annual",VLOOKUP(K10,#REF!,4)*'3.6 - Open'!J10,IF(E10="Winter",VLOOKUP('3.6 - Open'!K10,#REF!,5)*'3.6 - Open'!J10,IF(E10="NA",0,0)))</f>
        <v>0</v>
      </c>
      <c r="V10" s="19">
        <f t="shared" si="0"/>
        <v>0</v>
      </c>
      <c r="W10" s="19">
        <f t="shared" si="1"/>
        <v>0</v>
      </c>
      <c r="X10" s="19">
        <f t="shared" si="2"/>
        <v>0</v>
      </c>
      <c r="Y10" s="19">
        <f t="shared" si="3"/>
        <v>0</v>
      </c>
      <c r="Z10" s="20" t="e">
        <f>(T10+U10+(PV(#REF!,'3.6 - Open'!K10,'3.6 - Open'!P10)*-1)+'3.6 - Open'!O10)/'3.6 - Open'!F10</f>
        <v>#REF!</v>
      </c>
      <c r="AA10" s="20" t="e">
        <f t="shared" si="4"/>
        <v>#DIV/0!</v>
      </c>
      <c r="AB10" s="21">
        <f t="shared" si="5"/>
        <v>0</v>
      </c>
      <c r="AC10" s="20">
        <f t="shared" si="6"/>
        <v>0</v>
      </c>
      <c r="AD10" s="20">
        <f t="shared" si="7"/>
        <v>0</v>
      </c>
      <c r="AE10" s="20">
        <f t="shared" si="8"/>
        <v>0</v>
      </c>
      <c r="AF10" s="19">
        <f t="shared" si="9"/>
        <v>0</v>
      </c>
      <c r="AG10" s="19">
        <f t="shared" si="10"/>
        <v>0</v>
      </c>
      <c r="AH10" s="19">
        <f t="shared" si="11"/>
        <v>0</v>
      </c>
      <c r="AI10" s="19">
        <f t="shared" si="12"/>
        <v>0</v>
      </c>
      <c r="AJ10" s="15">
        <v>0</v>
      </c>
      <c r="AK10" s="19">
        <f t="shared" si="15"/>
        <v>0</v>
      </c>
      <c r="AL10" s="19">
        <f t="shared" si="16"/>
        <v>0</v>
      </c>
      <c r="AM10" s="19">
        <f t="shared" si="13"/>
        <v>0</v>
      </c>
      <c r="AN10" s="19" t="e">
        <f t="shared" si="14"/>
        <v>#DIV/0!</v>
      </c>
      <c r="AO10" s="19" t="e">
        <f t="shared" si="17"/>
        <v>#DIV/0!</v>
      </c>
      <c r="AP10" s="18" t="e">
        <f>-PV(#REF!,'3.6 - Open'!K10,'3.6 - Open'!P10)*'3.6 - Open'!B10</f>
        <v>#REF!</v>
      </c>
      <c r="AQ10" s="19" t="e">
        <f t="shared" si="18"/>
        <v>#REF!</v>
      </c>
      <c r="AR10" s="19" t="e">
        <f t="shared" si="19"/>
        <v>#REF!</v>
      </c>
      <c r="AS10" s="18" t="e">
        <f>B10*H10*K10*#REF!</f>
        <v>#REF!</v>
      </c>
      <c r="AT10" s="19" t="e">
        <f>B10*J10*K10*#REF!</f>
        <v>#REF!</v>
      </c>
      <c r="AU10" s="6"/>
      <c r="AV10" s="6"/>
      <c r="AW10" s="6"/>
      <c r="AX10" s="6"/>
      <c r="AY10" s="6"/>
      <c r="BK10" s="8" t="s">
        <v>10</v>
      </c>
    </row>
    <row r="11" spans="1:63" x14ac:dyDescent="0.25">
      <c r="A11" s="110"/>
      <c r="B11" s="110"/>
      <c r="C11" s="125"/>
      <c r="D11" s="110"/>
      <c r="E11" s="110" t="s">
        <v>24</v>
      </c>
      <c r="F11" s="125"/>
      <c r="G11" s="125"/>
      <c r="H11" s="110"/>
      <c r="I11" s="125"/>
      <c r="J11" s="110"/>
      <c r="K11" s="110"/>
      <c r="L11" s="125"/>
      <c r="M11" s="125"/>
      <c r="N11" s="125"/>
      <c r="O11" s="125"/>
      <c r="P11" s="125"/>
      <c r="Q11" s="125"/>
      <c r="R11" s="125"/>
      <c r="S11" s="125"/>
      <c r="T11" s="18">
        <f>IF(D11="Res Space Heat",VLOOKUP(K11,#REF!,4)*H11,IF(D11="Res AC",VLOOKUP(K11,#REF!,6)*H11,IF(D11="Res Lighting",VLOOKUP(K11,#REF!,8)*H11,IF(D11="Res Refrigeration",VLOOKUP(K11,#REF!,10)*H11,IF(D11="Res Water Heating",VLOOKUP(K11,#REF!,12)*H11,IF(D11="Res Dishwasher",VLOOKUP(K11,#REF!,14)*H11,IF(D11="Res Washer Dryer",VLOOKUP(K11,#REF!,16)*H11,IF(D11="Res Misc",VLOOKUP(K11,#REF!,18)*H11,IF(D11="Res Furnace Fan",VLOOKUP(K11,#REF!,20)*H11,IF(D11="NonRes Compressed Air",VLOOKUP(K11,#REF!,22)*H11,IF(D11="NonRes Cooking",VLOOKUP(K11,#REF!,24)*H11,IF(D11="NonRes Space Cooling",VLOOKUP(K11,#REF!,26)*H11,IF(D11="NonRes Exterior Lighting",VLOOKUP(K11,#REF!,28)*H11,IF(D11="NonRes Space Heating",VLOOKUP(K11,#REF!,30)*H11,IF(D11="NonRes Water Heating",VLOOKUP(K11,#REF!,32)*H11,IF(D11="NonRes Interior Lighting",VLOOKUP(K11,#REF!,34)*H11,IF(D11="NonRes Misc",VLOOKUP(K11,#REF!,36)*H11,IF(D11="NonRes Motors",VLOOKUP(K11,#REF!,38)*H11,IF(D11="NonRes Office Equipment",VLOOKUP(K11,#REF!,40)*H11,IF(D11="NonRes Process",VLOOKUP(K11,#REF!,42)*H11,IF(D11="NonRes Refrigeration",VLOOKUP(K11,#REF!,44)*H11,IF(D11="NonRes Ventilation",VLOOKUP(K11,#REF!,46)*H11,0))))))))))))))))))))))</f>
        <v>0</v>
      </c>
      <c r="U11" s="18">
        <f>IF(E11="Annual",VLOOKUP(K11,#REF!,4)*'3.6 - Open'!J11,IF(E11="Winter",VLOOKUP('3.6 - Open'!K11,#REF!,5)*'3.6 - Open'!J11,IF(E11="NA",0,0)))</f>
        <v>0</v>
      </c>
      <c r="V11" s="19">
        <f t="shared" si="0"/>
        <v>0</v>
      </c>
      <c r="W11" s="19">
        <f t="shared" si="1"/>
        <v>0</v>
      </c>
      <c r="X11" s="19">
        <f t="shared" si="2"/>
        <v>0</v>
      </c>
      <c r="Y11" s="19">
        <f t="shared" si="3"/>
        <v>0</v>
      </c>
      <c r="Z11" s="20" t="e">
        <f>(T11+U11+(PV(#REF!,'3.6 - Open'!K11,'3.6 - Open'!P11)*-1)+'3.6 - Open'!O11)/'3.6 - Open'!F11</f>
        <v>#REF!</v>
      </c>
      <c r="AA11" s="20" t="e">
        <f t="shared" si="4"/>
        <v>#DIV/0!</v>
      </c>
      <c r="AB11" s="21">
        <f t="shared" si="5"/>
        <v>0</v>
      </c>
      <c r="AC11" s="20">
        <f t="shared" si="6"/>
        <v>0</v>
      </c>
      <c r="AD11" s="20">
        <f t="shared" si="7"/>
        <v>0</v>
      </c>
      <c r="AE11" s="20">
        <f t="shared" si="8"/>
        <v>0</v>
      </c>
      <c r="AF11" s="19">
        <f t="shared" si="9"/>
        <v>0</v>
      </c>
      <c r="AG11" s="19">
        <f t="shared" si="10"/>
        <v>0</v>
      </c>
      <c r="AH11" s="19">
        <f t="shared" si="11"/>
        <v>0</v>
      </c>
      <c r="AI11" s="19">
        <f t="shared" si="12"/>
        <v>0</v>
      </c>
      <c r="AJ11" s="15">
        <v>0</v>
      </c>
      <c r="AK11" s="19">
        <f t="shared" si="15"/>
        <v>0</v>
      </c>
      <c r="AL11" s="19">
        <f t="shared" si="16"/>
        <v>0</v>
      </c>
      <c r="AM11" s="19">
        <f t="shared" si="13"/>
        <v>0</v>
      </c>
      <c r="AN11" s="19" t="e">
        <f t="shared" si="14"/>
        <v>#DIV/0!</v>
      </c>
      <c r="AO11" s="19" t="e">
        <f t="shared" si="17"/>
        <v>#DIV/0!</v>
      </c>
      <c r="AP11" s="18" t="e">
        <f>-PV(#REF!,'3.6 - Open'!K11,'3.6 - Open'!P11)*'3.6 - Open'!B11</f>
        <v>#REF!</v>
      </c>
      <c r="AQ11" s="19" t="e">
        <f t="shared" si="18"/>
        <v>#REF!</v>
      </c>
      <c r="AR11" s="19" t="e">
        <f t="shared" si="19"/>
        <v>#REF!</v>
      </c>
      <c r="AS11" s="18" t="e">
        <f>B11*H11*K11*#REF!</f>
        <v>#REF!</v>
      </c>
      <c r="AT11" s="19" t="e">
        <f>B11*J11*K11*#REF!</f>
        <v>#REF!</v>
      </c>
      <c r="AU11" s="6"/>
      <c r="AV11" s="6"/>
      <c r="AW11" s="6"/>
      <c r="AX11" s="6"/>
      <c r="AY11" s="6"/>
      <c r="BK11" s="8" t="s">
        <v>11</v>
      </c>
    </row>
    <row r="12" spans="1:63" x14ac:dyDescent="0.25">
      <c r="A12" s="110"/>
      <c r="B12" s="110"/>
      <c r="C12" s="125"/>
      <c r="D12" s="110"/>
      <c r="E12" s="110" t="s">
        <v>24</v>
      </c>
      <c r="F12" s="125"/>
      <c r="G12" s="125"/>
      <c r="H12" s="110"/>
      <c r="I12" s="125"/>
      <c r="J12" s="110"/>
      <c r="K12" s="110"/>
      <c r="L12" s="125"/>
      <c r="M12" s="125"/>
      <c r="N12" s="125"/>
      <c r="O12" s="125"/>
      <c r="P12" s="125"/>
      <c r="Q12" s="125"/>
      <c r="R12" s="125"/>
      <c r="S12" s="125"/>
      <c r="T12" s="18">
        <f>IF(D12="Res Space Heat",VLOOKUP(K12,#REF!,4)*H12,IF(D12="Res AC",VLOOKUP(K12,#REF!,6)*H12,IF(D12="Res Lighting",VLOOKUP(K12,#REF!,8)*H12,IF(D12="Res Refrigeration",VLOOKUP(K12,#REF!,10)*H12,IF(D12="Res Water Heating",VLOOKUP(K12,#REF!,12)*H12,IF(D12="Res Dishwasher",VLOOKUP(K12,#REF!,14)*H12,IF(D12="Res Washer Dryer",VLOOKUP(K12,#REF!,16)*H12,IF(D12="Res Misc",VLOOKUP(K12,#REF!,18)*H12,IF(D12="Res Furnace Fan",VLOOKUP(K12,#REF!,20)*H12,IF(D12="NonRes Compressed Air",VLOOKUP(K12,#REF!,22)*H12,IF(D12="NonRes Cooking",VLOOKUP(K12,#REF!,24)*H12,IF(D12="NonRes Space Cooling",VLOOKUP(K12,#REF!,26)*H12,IF(D12="NonRes Exterior Lighting",VLOOKUP(K12,#REF!,28)*H12,IF(D12="NonRes Space Heating",VLOOKUP(K12,#REF!,30)*H12,IF(D12="NonRes Water Heating",VLOOKUP(K12,#REF!,32)*H12,IF(D12="NonRes Interior Lighting",VLOOKUP(K12,#REF!,34)*H12,IF(D12="NonRes Misc",VLOOKUP(K12,#REF!,36)*H12,IF(D12="NonRes Motors",VLOOKUP(K12,#REF!,38)*H12,IF(D12="NonRes Office Equipment",VLOOKUP(K12,#REF!,40)*H12,IF(D12="NonRes Process",VLOOKUP(K12,#REF!,42)*H12,IF(D12="NonRes Refrigeration",VLOOKUP(K12,#REF!,44)*H12,IF(D12="NonRes Ventilation",VLOOKUP(K12,#REF!,46)*H12,0))))))))))))))))))))))</f>
        <v>0</v>
      </c>
      <c r="U12" s="18">
        <f>IF(E12="Annual",VLOOKUP(K12,#REF!,4)*'3.6 - Open'!J12,IF(E12="Winter",VLOOKUP('3.6 - Open'!K12,#REF!,5)*'3.6 - Open'!J12,IF(E12="NA",0,0)))</f>
        <v>0</v>
      </c>
      <c r="V12" s="19">
        <f t="shared" si="0"/>
        <v>0</v>
      </c>
      <c r="W12" s="19">
        <f t="shared" si="1"/>
        <v>0</v>
      </c>
      <c r="X12" s="19">
        <f t="shared" si="2"/>
        <v>0</v>
      </c>
      <c r="Y12" s="19">
        <f t="shared" si="3"/>
        <v>0</v>
      </c>
      <c r="Z12" s="20" t="e">
        <f>(T12+U12+(PV(#REF!,'3.6 - Open'!K12,'3.6 - Open'!P12)*-1)+'3.6 - Open'!O12)/'3.6 - Open'!F12</f>
        <v>#REF!</v>
      </c>
      <c r="AA12" s="20" t="e">
        <f t="shared" si="4"/>
        <v>#DIV/0!</v>
      </c>
      <c r="AB12" s="21">
        <f t="shared" si="5"/>
        <v>0</v>
      </c>
      <c r="AC12" s="20">
        <f t="shared" si="6"/>
        <v>0</v>
      </c>
      <c r="AD12" s="20">
        <f t="shared" si="7"/>
        <v>0</v>
      </c>
      <c r="AE12" s="20">
        <f t="shared" si="8"/>
        <v>0</v>
      </c>
      <c r="AF12" s="19">
        <f t="shared" si="9"/>
        <v>0</v>
      </c>
      <c r="AG12" s="19">
        <f t="shared" si="10"/>
        <v>0</v>
      </c>
      <c r="AH12" s="19">
        <f t="shared" si="11"/>
        <v>0</v>
      </c>
      <c r="AI12" s="19">
        <f t="shared" si="12"/>
        <v>0</v>
      </c>
      <c r="AJ12" s="15">
        <v>0</v>
      </c>
      <c r="AK12" s="19">
        <f t="shared" si="15"/>
        <v>0</v>
      </c>
      <c r="AL12" s="19">
        <f t="shared" si="16"/>
        <v>0</v>
      </c>
      <c r="AM12" s="19">
        <f t="shared" si="13"/>
        <v>0</v>
      </c>
      <c r="AN12" s="19" t="e">
        <f t="shared" si="14"/>
        <v>#DIV/0!</v>
      </c>
      <c r="AO12" s="19" t="e">
        <f t="shared" si="17"/>
        <v>#DIV/0!</v>
      </c>
      <c r="AP12" s="18" t="e">
        <f>-PV(#REF!,'3.6 - Open'!K12,'3.6 - Open'!P12)*'3.6 - Open'!B12</f>
        <v>#REF!</v>
      </c>
      <c r="AQ12" s="19" t="e">
        <f t="shared" si="18"/>
        <v>#REF!</v>
      </c>
      <c r="AR12" s="19" t="e">
        <f t="shared" si="19"/>
        <v>#REF!</v>
      </c>
      <c r="AS12" s="18" t="e">
        <f>B12*H12*K12*#REF!</f>
        <v>#REF!</v>
      </c>
      <c r="AT12" s="19" t="e">
        <f>B12*J12*K12*#REF!</f>
        <v>#REF!</v>
      </c>
      <c r="AU12" s="6"/>
      <c r="AV12" s="6"/>
      <c r="AW12" s="6"/>
      <c r="AX12" s="6"/>
      <c r="AY12" s="6"/>
      <c r="BK12" s="8" t="s">
        <v>12</v>
      </c>
    </row>
    <row r="13" spans="1:63" x14ac:dyDescent="0.25">
      <c r="A13" s="110"/>
      <c r="B13" s="110"/>
      <c r="C13" s="125"/>
      <c r="D13" s="110"/>
      <c r="E13" s="110" t="s">
        <v>24</v>
      </c>
      <c r="F13" s="125"/>
      <c r="G13" s="125"/>
      <c r="H13" s="110"/>
      <c r="I13" s="125"/>
      <c r="J13" s="110"/>
      <c r="K13" s="110"/>
      <c r="L13" s="125"/>
      <c r="M13" s="125"/>
      <c r="N13" s="125"/>
      <c r="O13" s="125"/>
      <c r="P13" s="125"/>
      <c r="Q13" s="125"/>
      <c r="R13" s="125"/>
      <c r="S13" s="125"/>
      <c r="T13" s="18">
        <f>IF(D13="Res Space Heat",VLOOKUP(K13,#REF!,4)*H13,IF(D13="Res AC",VLOOKUP(K13,#REF!,6)*H13,IF(D13="Res Lighting",VLOOKUP(K13,#REF!,8)*H13,IF(D13="Res Refrigeration",VLOOKUP(K13,#REF!,10)*H13,IF(D13="Res Water Heating",VLOOKUP(K13,#REF!,12)*H13,IF(D13="Res Dishwasher",VLOOKUP(K13,#REF!,14)*H13,IF(D13="Res Washer Dryer",VLOOKUP(K13,#REF!,16)*H13,IF(D13="Res Misc",VLOOKUP(K13,#REF!,18)*H13,IF(D13="Res Furnace Fan",VLOOKUP(K13,#REF!,20)*H13,IF(D13="NonRes Compressed Air",VLOOKUP(K13,#REF!,22)*H13,IF(D13="NonRes Cooking",VLOOKUP(K13,#REF!,24)*H13,IF(D13="NonRes Space Cooling",VLOOKUP(K13,#REF!,26)*H13,IF(D13="NonRes Exterior Lighting",VLOOKUP(K13,#REF!,28)*H13,IF(D13="NonRes Space Heating",VLOOKUP(K13,#REF!,30)*H13,IF(D13="NonRes Water Heating",VLOOKUP(K13,#REF!,32)*H13,IF(D13="NonRes Interior Lighting",VLOOKUP(K13,#REF!,34)*H13,IF(D13="NonRes Misc",VLOOKUP(K13,#REF!,36)*H13,IF(D13="NonRes Motors",VLOOKUP(K13,#REF!,38)*H13,IF(D13="NonRes Office Equipment",VLOOKUP(K13,#REF!,40)*H13,IF(D13="NonRes Process",VLOOKUP(K13,#REF!,42)*H13,IF(D13="NonRes Refrigeration",VLOOKUP(K13,#REF!,44)*H13,IF(D13="NonRes Ventilation",VLOOKUP(K13,#REF!,46)*H13,0))))))))))))))))))))))</f>
        <v>0</v>
      </c>
      <c r="U13" s="18">
        <f>IF(E13="Annual",VLOOKUP(K13,#REF!,4)*'3.6 - Open'!J13,IF(E13="Winter",VLOOKUP('3.6 - Open'!K13,#REF!,5)*'3.6 - Open'!J13,IF(E13="NA",0,0)))</f>
        <v>0</v>
      </c>
      <c r="V13" s="19">
        <f t="shared" si="0"/>
        <v>0</v>
      </c>
      <c r="W13" s="19">
        <f t="shared" si="1"/>
        <v>0</v>
      </c>
      <c r="X13" s="19">
        <f t="shared" si="2"/>
        <v>0</v>
      </c>
      <c r="Y13" s="19">
        <f t="shared" si="3"/>
        <v>0</v>
      </c>
      <c r="Z13" s="20" t="e">
        <f>(T13+U13+(PV(#REF!,'3.6 - Open'!K13,'3.6 - Open'!P13)*-1)+'3.6 - Open'!O13)/'3.6 - Open'!F13</f>
        <v>#REF!</v>
      </c>
      <c r="AA13" s="20" t="e">
        <f t="shared" si="4"/>
        <v>#DIV/0!</v>
      </c>
      <c r="AB13" s="21">
        <f t="shared" si="5"/>
        <v>0</v>
      </c>
      <c r="AC13" s="20">
        <f t="shared" si="6"/>
        <v>0</v>
      </c>
      <c r="AD13" s="20">
        <f t="shared" si="7"/>
        <v>0</v>
      </c>
      <c r="AE13" s="20">
        <f t="shared" si="8"/>
        <v>0</v>
      </c>
      <c r="AF13" s="19">
        <f t="shared" si="9"/>
        <v>0</v>
      </c>
      <c r="AG13" s="19">
        <f t="shared" si="10"/>
        <v>0</v>
      </c>
      <c r="AH13" s="19">
        <f t="shared" si="11"/>
        <v>0</v>
      </c>
      <c r="AI13" s="19">
        <f t="shared" si="12"/>
        <v>0</v>
      </c>
      <c r="AJ13" s="15">
        <v>0</v>
      </c>
      <c r="AK13" s="19">
        <f t="shared" si="15"/>
        <v>0</v>
      </c>
      <c r="AL13" s="19">
        <f t="shared" si="16"/>
        <v>0</v>
      </c>
      <c r="AM13" s="19">
        <f t="shared" si="13"/>
        <v>0</v>
      </c>
      <c r="AN13" s="19" t="e">
        <f t="shared" si="14"/>
        <v>#DIV/0!</v>
      </c>
      <c r="AO13" s="19" t="e">
        <f t="shared" si="17"/>
        <v>#DIV/0!</v>
      </c>
      <c r="AP13" s="18" t="e">
        <f>-PV(#REF!,'3.6 - Open'!K13,'3.6 - Open'!P13)*'3.6 - Open'!B13</f>
        <v>#REF!</v>
      </c>
      <c r="AQ13" s="19" t="e">
        <f t="shared" si="18"/>
        <v>#REF!</v>
      </c>
      <c r="AR13" s="19" t="e">
        <f t="shared" si="19"/>
        <v>#REF!</v>
      </c>
      <c r="AS13" s="18" t="e">
        <f>B13*H13*K13*#REF!</f>
        <v>#REF!</v>
      </c>
      <c r="AT13" s="19" t="e">
        <f>B13*J13*K13*#REF!</f>
        <v>#REF!</v>
      </c>
      <c r="AU13" s="6"/>
      <c r="AV13" s="6"/>
      <c r="AW13" s="6"/>
      <c r="AX13" s="6"/>
      <c r="AY13" s="6"/>
      <c r="BK13" s="8" t="s">
        <v>13</v>
      </c>
    </row>
    <row r="14" spans="1:63" x14ac:dyDescent="0.25">
      <c r="A14" s="110"/>
      <c r="B14" s="110"/>
      <c r="C14" s="125"/>
      <c r="D14" s="110"/>
      <c r="E14" s="110" t="s">
        <v>24</v>
      </c>
      <c r="F14" s="125"/>
      <c r="G14" s="125"/>
      <c r="H14" s="110"/>
      <c r="I14" s="125"/>
      <c r="J14" s="110"/>
      <c r="K14" s="110"/>
      <c r="L14" s="125"/>
      <c r="M14" s="125"/>
      <c r="N14" s="125"/>
      <c r="O14" s="125"/>
      <c r="P14" s="125"/>
      <c r="Q14" s="125"/>
      <c r="R14" s="125"/>
      <c r="S14" s="125"/>
      <c r="T14" s="18">
        <f>IF(D14="Res Space Heat",VLOOKUP(K14,#REF!,4)*H14,IF(D14="Res AC",VLOOKUP(K14,#REF!,6)*H14,IF(D14="Res Lighting",VLOOKUP(K14,#REF!,8)*H14,IF(D14="Res Refrigeration",VLOOKUP(K14,#REF!,10)*H14,IF(D14="Res Water Heating",VLOOKUP(K14,#REF!,12)*H14,IF(D14="Res Dishwasher",VLOOKUP(K14,#REF!,14)*H14,IF(D14="Res Washer Dryer",VLOOKUP(K14,#REF!,16)*H14,IF(D14="Res Misc",VLOOKUP(K14,#REF!,18)*H14,IF(D14="Res Furnace Fan",VLOOKUP(K14,#REF!,20)*H14,IF(D14="NonRes Compressed Air",VLOOKUP(K14,#REF!,22)*H14,IF(D14="NonRes Cooking",VLOOKUP(K14,#REF!,24)*H14,IF(D14="NonRes Space Cooling",VLOOKUP(K14,#REF!,26)*H14,IF(D14="NonRes Exterior Lighting",VLOOKUP(K14,#REF!,28)*H14,IF(D14="NonRes Space Heating",VLOOKUP(K14,#REF!,30)*H14,IF(D14="NonRes Water Heating",VLOOKUP(K14,#REF!,32)*H14,IF(D14="NonRes Interior Lighting",VLOOKUP(K14,#REF!,34)*H14,IF(D14="NonRes Misc",VLOOKUP(K14,#REF!,36)*H14,IF(D14="NonRes Motors",VLOOKUP(K14,#REF!,38)*H14,IF(D14="NonRes Office Equipment",VLOOKUP(K14,#REF!,40)*H14,IF(D14="NonRes Process",VLOOKUP(K14,#REF!,42)*H14,IF(D14="NonRes Refrigeration",VLOOKUP(K14,#REF!,44)*H14,IF(D14="NonRes Ventilation",VLOOKUP(K14,#REF!,46)*H14,0))))))))))))))))))))))</f>
        <v>0</v>
      </c>
      <c r="U14" s="18">
        <f>IF(E14="Annual",VLOOKUP(K14,#REF!,4)*'3.6 - Open'!J14,IF(E14="Winter",VLOOKUP('3.6 - Open'!K14,#REF!,5)*'3.6 - Open'!J14,IF(E14="NA",0,0)))</f>
        <v>0</v>
      </c>
      <c r="V14" s="19">
        <f t="shared" si="0"/>
        <v>0</v>
      </c>
      <c r="W14" s="19">
        <f t="shared" si="1"/>
        <v>0</v>
      </c>
      <c r="X14" s="19">
        <f t="shared" si="2"/>
        <v>0</v>
      </c>
      <c r="Y14" s="19">
        <f t="shared" si="3"/>
        <v>0</v>
      </c>
      <c r="Z14" s="20" t="e">
        <f>(T14+U14+(PV(#REF!,'3.6 - Open'!K14,'3.6 - Open'!P14)*-1)+'3.6 - Open'!O14)/'3.6 - Open'!F14</f>
        <v>#REF!</v>
      </c>
      <c r="AA14" s="20" t="e">
        <f t="shared" si="4"/>
        <v>#DIV/0!</v>
      </c>
      <c r="AB14" s="21">
        <f t="shared" si="5"/>
        <v>0</v>
      </c>
      <c r="AC14" s="20">
        <f t="shared" si="6"/>
        <v>0</v>
      </c>
      <c r="AD14" s="20">
        <f t="shared" si="7"/>
        <v>0</v>
      </c>
      <c r="AE14" s="20">
        <f t="shared" si="8"/>
        <v>0</v>
      </c>
      <c r="AF14" s="19">
        <f t="shared" si="9"/>
        <v>0</v>
      </c>
      <c r="AG14" s="19">
        <f t="shared" si="10"/>
        <v>0</v>
      </c>
      <c r="AH14" s="19">
        <f t="shared" si="11"/>
        <v>0</v>
      </c>
      <c r="AI14" s="19">
        <f t="shared" si="12"/>
        <v>0</v>
      </c>
      <c r="AJ14" s="15">
        <v>0</v>
      </c>
      <c r="AK14" s="19">
        <f t="shared" si="15"/>
        <v>0</v>
      </c>
      <c r="AL14" s="19">
        <f t="shared" si="16"/>
        <v>0</v>
      </c>
      <c r="AM14" s="19">
        <f t="shared" si="13"/>
        <v>0</v>
      </c>
      <c r="AN14" s="19" t="e">
        <f t="shared" si="14"/>
        <v>#DIV/0!</v>
      </c>
      <c r="AO14" s="19" t="e">
        <f t="shared" si="17"/>
        <v>#DIV/0!</v>
      </c>
      <c r="AP14" s="18" t="e">
        <f>-PV(#REF!,'3.6 - Open'!K14,'3.6 - Open'!P14)*'3.6 - Open'!B14</f>
        <v>#REF!</v>
      </c>
      <c r="AQ14" s="19" t="e">
        <f t="shared" si="18"/>
        <v>#REF!</v>
      </c>
      <c r="AR14" s="19" t="e">
        <f t="shared" si="19"/>
        <v>#REF!</v>
      </c>
      <c r="AS14" s="18" t="e">
        <f>B14*H14*K14*#REF!</f>
        <v>#REF!</v>
      </c>
      <c r="AT14" s="19" t="e">
        <f>B14*J14*K14*#REF!</f>
        <v>#REF!</v>
      </c>
      <c r="AU14" s="6"/>
      <c r="AV14" s="6"/>
      <c r="AW14" s="6"/>
      <c r="AX14" s="6"/>
      <c r="AY14" s="6"/>
      <c r="BK14" s="8" t="s">
        <v>14</v>
      </c>
    </row>
    <row r="15" spans="1:63" x14ac:dyDescent="0.25">
      <c r="A15" s="110"/>
      <c r="B15" s="110"/>
      <c r="C15" s="125"/>
      <c r="D15" s="110"/>
      <c r="E15" s="110" t="s">
        <v>24</v>
      </c>
      <c r="F15" s="125"/>
      <c r="G15" s="125"/>
      <c r="H15" s="110"/>
      <c r="I15" s="125"/>
      <c r="J15" s="110"/>
      <c r="K15" s="110"/>
      <c r="L15" s="125"/>
      <c r="M15" s="125"/>
      <c r="N15" s="125"/>
      <c r="O15" s="125"/>
      <c r="P15" s="125"/>
      <c r="Q15" s="125"/>
      <c r="R15" s="125"/>
      <c r="S15" s="125"/>
      <c r="T15" s="18">
        <f>IF(D15="Res Space Heat",VLOOKUP(K15,#REF!,4)*H15,IF(D15="Res AC",VLOOKUP(K15,#REF!,6)*H15,IF(D15="Res Lighting",VLOOKUP(K15,#REF!,8)*H15,IF(D15="Res Refrigeration",VLOOKUP(K15,#REF!,10)*H15,IF(D15="Res Water Heating",VLOOKUP(K15,#REF!,12)*H15,IF(D15="Res Dishwasher",VLOOKUP(K15,#REF!,14)*H15,IF(D15="Res Washer Dryer",VLOOKUP(K15,#REF!,16)*H15,IF(D15="Res Misc",VLOOKUP(K15,#REF!,18)*H15,IF(D15="Res Furnace Fan",VLOOKUP(K15,#REF!,20)*H15,IF(D15="NonRes Compressed Air",VLOOKUP(K15,#REF!,22)*H15,IF(D15="NonRes Cooking",VLOOKUP(K15,#REF!,24)*H15,IF(D15="NonRes Space Cooling",VLOOKUP(K15,#REF!,26)*H15,IF(D15="NonRes Exterior Lighting",VLOOKUP(K15,#REF!,28)*H15,IF(D15="NonRes Space Heating",VLOOKUP(K15,#REF!,30)*H15,IF(D15="NonRes Water Heating",VLOOKUP(K15,#REF!,32)*H15,IF(D15="NonRes Interior Lighting",VLOOKUP(K15,#REF!,34)*H15,IF(D15="NonRes Misc",VLOOKUP(K15,#REF!,36)*H15,IF(D15="NonRes Motors",VLOOKUP(K15,#REF!,38)*H15,IF(D15="NonRes Office Equipment",VLOOKUP(K15,#REF!,40)*H15,IF(D15="NonRes Process",VLOOKUP(K15,#REF!,42)*H15,IF(D15="NonRes Refrigeration",VLOOKUP(K15,#REF!,44)*H15,IF(D15="NonRes Ventilation",VLOOKUP(K15,#REF!,46)*H15,0))))))))))))))))))))))</f>
        <v>0</v>
      </c>
      <c r="U15" s="18">
        <f>IF(E15="Annual",VLOOKUP(K15,#REF!,4)*'3.6 - Open'!J15,IF(E15="Winter",VLOOKUP('3.6 - Open'!K15,#REF!,5)*'3.6 - Open'!J15,IF(E15="NA",0,0)))</f>
        <v>0</v>
      </c>
      <c r="V15" s="19">
        <f t="shared" si="0"/>
        <v>0</v>
      </c>
      <c r="W15" s="19">
        <f t="shared" si="1"/>
        <v>0</v>
      </c>
      <c r="X15" s="19">
        <f t="shared" si="2"/>
        <v>0</v>
      </c>
      <c r="Y15" s="19">
        <f t="shared" si="3"/>
        <v>0</v>
      </c>
      <c r="Z15" s="20" t="e">
        <f>(T15+U15+(PV(#REF!,'3.6 - Open'!K15,'3.6 - Open'!P15)*-1)+'3.6 - Open'!O15)/'3.6 - Open'!F15</f>
        <v>#REF!</v>
      </c>
      <c r="AA15" s="20" t="e">
        <f t="shared" si="4"/>
        <v>#DIV/0!</v>
      </c>
      <c r="AB15" s="21">
        <f t="shared" si="5"/>
        <v>0</v>
      </c>
      <c r="AC15" s="20">
        <f t="shared" si="6"/>
        <v>0</v>
      </c>
      <c r="AD15" s="20">
        <f t="shared" si="7"/>
        <v>0</v>
      </c>
      <c r="AE15" s="20">
        <f t="shared" si="8"/>
        <v>0</v>
      </c>
      <c r="AF15" s="19">
        <f t="shared" si="9"/>
        <v>0</v>
      </c>
      <c r="AG15" s="19">
        <f t="shared" si="10"/>
        <v>0</v>
      </c>
      <c r="AH15" s="19">
        <f t="shared" si="11"/>
        <v>0</v>
      </c>
      <c r="AI15" s="19">
        <f t="shared" si="12"/>
        <v>0</v>
      </c>
      <c r="AJ15" s="15">
        <v>0</v>
      </c>
      <c r="AK15" s="19">
        <f t="shared" si="15"/>
        <v>0</v>
      </c>
      <c r="AL15" s="19">
        <f t="shared" si="16"/>
        <v>0</v>
      </c>
      <c r="AM15" s="19">
        <f t="shared" si="13"/>
        <v>0</v>
      </c>
      <c r="AN15" s="19" t="e">
        <f t="shared" si="14"/>
        <v>#DIV/0!</v>
      </c>
      <c r="AO15" s="19" t="e">
        <f t="shared" si="17"/>
        <v>#DIV/0!</v>
      </c>
      <c r="AP15" s="18" t="e">
        <f>-PV(#REF!,'3.6 - Open'!K15,'3.6 - Open'!P15)*'3.6 - Open'!B15</f>
        <v>#REF!</v>
      </c>
      <c r="AQ15" s="19" t="e">
        <f t="shared" si="18"/>
        <v>#REF!</v>
      </c>
      <c r="AR15" s="19" t="e">
        <f t="shared" si="19"/>
        <v>#REF!</v>
      </c>
      <c r="AS15" s="18" t="e">
        <f>B15*H15*K15*#REF!</f>
        <v>#REF!</v>
      </c>
      <c r="AT15" s="19" t="e">
        <f>B15*J15*K15*#REF!</f>
        <v>#REF!</v>
      </c>
      <c r="AU15" s="6"/>
      <c r="AV15" s="6"/>
      <c r="AW15" s="6"/>
      <c r="AX15" s="6"/>
      <c r="AY15" s="6"/>
      <c r="BK15" s="8" t="s">
        <v>15</v>
      </c>
    </row>
    <row r="16" spans="1:63" x14ac:dyDescent="0.25">
      <c r="A16" s="110"/>
      <c r="B16" s="110"/>
      <c r="C16" s="125"/>
      <c r="D16" s="110"/>
      <c r="E16" s="110" t="s">
        <v>24</v>
      </c>
      <c r="F16" s="125"/>
      <c r="G16" s="125"/>
      <c r="H16" s="110"/>
      <c r="I16" s="125"/>
      <c r="J16" s="110"/>
      <c r="K16" s="110"/>
      <c r="L16" s="125"/>
      <c r="M16" s="125"/>
      <c r="N16" s="125"/>
      <c r="O16" s="125"/>
      <c r="P16" s="125"/>
      <c r="Q16" s="125"/>
      <c r="R16" s="125"/>
      <c r="S16" s="125"/>
      <c r="T16" s="18">
        <f>IF(D16="Res Space Heat",VLOOKUP(K16,#REF!,4)*H16,IF(D16="Res AC",VLOOKUP(K16,#REF!,6)*H16,IF(D16="Res Lighting",VLOOKUP(K16,#REF!,8)*H16,IF(D16="Res Refrigeration",VLOOKUP(K16,#REF!,10)*H16,IF(D16="Res Water Heating",VLOOKUP(K16,#REF!,12)*H16,IF(D16="Res Dishwasher",VLOOKUP(K16,#REF!,14)*H16,IF(D16="Res Washer Dryer",VLOOKUP(K16,#REF!,16)*H16,IF(D16="Res Misc",VLOOKUP(K16,#REF!,18)*H16,IF(D16="Res Furnace Fan",VLOOKUP(K16,#REF!,20)*H16,IF(D16="NonRes Compressed Air",VLOOKUP(K16,#REF!,22)*H16,IF(D16="NonRes Cooking",VLOOKUP(K16,#REF!,24)*H16,IF(D16="NonRes Space Cooling",VLOOKUP(K16,#REF!,26)*H16,IF(D16="NonRes Exterior Lighting",VLOOKUP(K16,#REF!,28)*H16,IF(D16="NonRes Space Heating",VLOOKUP(K16,#REF!,30)*H16,IF(D16="NonRes Water Heating",VLOOKUP(K16,#REF!,32)*H16,IF(D16="NonRes Interior Lighting",VLOOKUP(K16,#REF!,34)*H16,IF(D16="NonRes Misc",VLOOKUP(K16,#REF!,36)*H16,IF(D16="NonRes Motors",VLOOKUP(K16,#REF!,38)*H16,IF(D16="NonRes Office Equipment",VLOOKUP(K16,#REF!,40)*H16,IF(D16="NonRes Process",VLOOKUP(K16,#REF!,42)*H16,IF(D16="NonRes Refrigeration",VLOOKUP(K16,#REF!,44)*H16,IF(D16="NonRes Ventilation",VLOOKUP(K16,#REF!,46)*H16,0))))))))))))))))))))))</f>
        <v>0</v>
      </c>
      <c r="U16" s="18">
        <f>IF(E16="Annual",VLOOKUP(K16,#REF!,4)*'3.6 - Open'!J16,IF(E16="Winter",VLOOKUP('3.6 - Open'!K16,#REF!,5)*'3.6 - Open'!J16,IF(E16="NA",0,0)))</f>
        <v>0</v>
      </c>
      <c r="V16" s="19">
        <f t="shared" si="0"/>
        <v>0</v>
      </c>
      <c r="W16" s="19">
        <f t="shared" si="1"/>
        <v>0</v>
      </c>
      <c r="X16" s="19">
        <f t="shared" si="2"/>
        <v>0</v>
      </c>
      <c r="Y16" s="19">
        <f t="shared" si="3"/>
        <v>0</v>
      </c>
      <c r="Z16" s="20" t="e">
        <f>(T16+U16+(PV(#REF!,'3.6 - Open'!K16,'3.6 - Open'!P16)*-1)+'3.6 - Open'!O16)/'3.6 - Open'!F16</f>
        <v>#REF!</v>
      </c>
      <c r="AA16" s="20" t="e">
        <f t="shared" si="4"/>
        <v>#DIV/0!</v>
      </c>
      <c r="AB16" s="21">
        <f t="shared" si="5"/>
        <v>0</v>
      </c>
      <c r="AC16" s="20">
        <f t="shared" si="6"/>
        <v>0</v>
      </c>
      <c r="AD16" s="20">
        <f t="shared" si="7"/>
        <v>0</v>
      </c>
      <c r="AE16" s="20">
        <f t="shared" si="8"/>
        <v>0</v>
      </c>
      <c r="AF16" s="19">
        <f t="shared" si="9"/>
        <v>0</v>
      </c>
      <c r="AG16" s="19">
        <f t="shared" si="10"/>
        <v>0</v>
      </c>
      <c r="AH16" s="19">
        <f t="shared" si="11"/>
        <v>0</v>
      </c>
      <c r="AI16" s="19">
        <f t="shared" si="12"/>
        <v>0</v>
      </c>
      <c r="AJ16" s="15">
        <v>0</v>
      </c>
      <c r="AK16" s="19">
        <f t="shared" si="15"/>
        <v>0</v>
      </c>
      <c r="AL16" s="19">
        <f t="shared" si="16"/>
        <v>0</v>
      </c>
      <c r="AM16" s="19">
        <f t="shared" si="13"/>
        <v>0</v>
      </c>
      <c r="AN16" s="19" t="e">
        <f t="shared" si="14"/>
        <v>#DIV/0!</v>
      </c>
      <c r="AO16" s="19" t="e">
        <f t="shared" si="17"/>
        <v>#DIV/0!</v>
      </c>
      <c r="AP16" s="18" t="e">
        <f>-PV(#REF!,'3.6 - Open'!K16,'3.6 - Open'!P16)*'3.6 - Open'!B16</f>
        <v>#REF!</v>
      </c>
      <c r="AQ16" s="19" t="e">
        <f t="shared" si="18"/>
        <v>#REF!</v>
      </c>
      <c r="AR16" s="19" t="e">
        <f t="shared" si="19"/>
        <v>#REF!</v>
      </c>
      <c r="AS16" s="18" t="e">
        <f>B16*H16*K16*#REF!</f>
        <v>#REF!</v>
      </c>
      <c r="AT16" s="19" t="e">
        <f>B16*J16*K16*#REF!</f>
        <v>#REF!</v>
      </c>
      <c r="AU16" s="6"/>
      <c r="AV16" s="6"/>
      <c r="AW16" s="6"/>
      <c r="AX16" s="6"/>
      <c r="AY16" s="6"/>
      <c r="BK16" s="8" t="s">
        <v>16</v>
      </c>
    </row>
    <row r="17" spans="1:63" x14ac:dyDescent="0.25">
      <c r="A17" s="110"/>
      <c r="B17" s="110"/>
      <c r="C17" s="125"/>
      <c r="D17" s="110"/>
      <c r="E17" s="110" t="s">
        <v>24</v>
      </c>
      <c r="F17" s="125"/>
      <c r="G17" s="125"/>
      <c r="H17" s="110"/>
      <c r="I17" s="125"/>
      <c r="J17" s="110"/>
      <c r="K17" s="110"/>
      <c r="L17" s="125"/>
      <c r="M17" s="125"/>
      <c r="N17" s="125"/>
      <c r="O17" s="125"/>
      <c r="P17" s="125"/>
      <c r="Q17" s="125"/>
      <c r="R17" s="125"/>
      <c r="S17" s="125"/>
      <c r="T17" s="18">
        <f>IF(D17="Res Space Heat",VLOOKUP(K17,#REF!,4)*H17,IF(D17="Res AC",VLOOKUP(K17,#REF!,6)*H17,IF(D17="Res Lighting",VLOOKUP(K17,#REF!,8)*H17,IF(D17="Res Refrigeration",VLOOKUP(K17,#REF!,10)*H17,IF(D17="Res Water Heating",VLOOKUP(K17,#REF!,12)*H17,IF(D17="Res Dishwasher",VLOOKUP(K17,#REF!,14)*H17,IF(D17="Res Washer Dryer",VLOOKUP(K17,#REF!,16)*H17,IF(D17="Res Misc",VLOOKUP(K17,#REF!,18)*H17,IF(D17="Res Furnace Fan",VLOOKUP(K17,#REF!,20)*H17,IF(D17="NonRes Compressed Air",VLOOKUP(K17,#REF!,22)*H17,IF(D17="NonRes Cooking",VLOOKUP(K17,#REF!,24)*H17,IF(D17="NonRes Space Cooling",VLOOKUP(K17,#REF!,26)*H17,IF(D17="NonRes Exterior Lighting",VLOOKUP(K17,#REF!,28)*H17,IF(D17="NonRes Space Heating",VLOOKUP(K17,#REF!,30)*H17,IF(D17="NonRes Water Heating",VLOOKUP(K17,#REF!,32)*H17,IF(D17="NonRes Interior Lighting",VLOOKUP(K17,#REF!,34)*H17,IF(D17="NonRes Misc",VLOOKUP(K17,#REF!,36)*H17,IF(D17="NonRes Motors",VLOOKUP(K17,#REF!,38)*H17,IF(D17="NonRes Office Equipment",VLOOKUP(K17,#REF!,40)*H17,IF(D17="NonRes Process",VLOOKUP(K17,#REF!,42)*H17,IF(D17="NonRes Refrigeration",VLOOKUP(K17,#REF!,44)*H17,IF(D17="NonRes Ventilation",VLOOKUP(K17,#REF!,46)*H17,0))))))))))))))))))))))</f>
        <v>0</v>
      </c>
      <c r="U17" s="18">
        <f>IF(E17="Annual",VLOOKUP(K17,#REF!,4)*'3.6 - Open'!J17,IF(E17="Winter",VLOOKUP('3.6 - Open'!K17,#REF!,5)*'3.6 - Open'!J17,IF(E17="NA",0,0)))</f>
        <v>0</v>
      </c>
      <c r="V17" s="19">
        <f t="shared" si="0"/>
        <v>0</v>
      </c>
      <c r="W17" s="19">
        <f t="shared" si="1"/>
        <v>0</v>
      </c>
      <c r="X17" s="19">
        <f t="shared" si="2"/>
        <v>0</v>
      </c>
      <c r="Y17" s="19">
        <f t="shared" si="3"/>
        <v>0</v>
      </c>
      <c r="Z17" s="20" t="e">
        <f>(T17+U17+(PV(#REF!,'3.6 - Open'!K17,'3.6 - Open'!P17)*-1)+'3.6 - Open'!O17)/'3.6 - Open'!F17</f>
        <v>#REF!</v>
      </c>
      <c r="AA17" s="20" t="e">
        <f t="shared" si="4"/>
        <v>#DIV/0!</v>
      </c>
      <c r="AB17" s="21">
        <f t="shared" si="5"/>
        <v>0</v>
      </c>
      <c r="AC17" s="20">
        <f t="shared" si="6"/>
        <v>0</v>
      </c>
      <c r="AD17" s="20">
        <f t="shared" si="7"/>
        <v>0</v>
      </c>
      <c r="AE17" s="20">
        <f t="shared" si="8"/>
        <v>0</v>
      </c>
      <c r="AF17" s="19">
        <f t="shared" si="9"/>
        <v>0</v>
      </c>
      <c r="AG17" s="19">
        <f t="shared" si="10"/>
        <v>0</v>
      </c>
      <c r="AH17" s="19">
        <f t="shared" si="11"/>
        <v>0</v>
      </c>
      <c r="AI17" s="19">
        <f t="shared" si="12"/>
        <v>0</v>
      </c>
      <c r="AJ17" s="15">
        <v>0</v>
      </c>
      <c r="AK17" s="19">
        <f t="shared" si="15"/>
        <v>0</v>
      </c>
      <c r="AL17" s="19">
        <f t="shared" si="16"/>
        <v>0</v>
      </c>
      <c r="AM17" s="19">
        <f t="shared" si="13"/>
        <v>0</v>
      </c>
      <c r="AN17" s="19" t="e">
        <f t="shared" si="14"/>
        <v>#DIV/0!</v>
      </c>
      <c r="AO17" s="19" t="e">
        <f t="shared" si="17"/>
        <v>#DIV/0!</v>
      </c>
      <c r="AP17" s="18" t="e">
        <f>-PV(#REF!,'3.6 - Open'!K17,'3.6 - Open'!P17)*'3.6 - Open'!B17</f>
        <v>#REF!</v>
      </c>
      <c r="AQ17" s="19" t="e">
        <f t="shared" si="18"/>
        <v>#REF!</v>
      </c>
      <c r="AR17" s="19" t="e">
        <f t="shared" si="19"/>
        <v>#REF!</v>
      </c>
      <c r="AS17" s="18" t="e">
        <f>B17*H17*K17*#REF!</f>
        <v>#REF!</v>
      </c>
      <c r="AT17" s="19" t="e">
        <f>B17*J17*K17*#REF!</f>
        <v>#REF!</v>
      </c>
      <c r="AU17" s="6"/>
      <c r="AV17" s="6"/>
      <c r="AW17" s="6"/>
      <c r="AX17" s="6"/>
      <c r="AY17" s="6"/>
      <c r="BK17" s="8" t="s">
        <v>17</v>
      </c>
    </row>
    <row r="18" spans="1:63" x14ac:dyDescent="0.25">
      <c r="A18" s="110"/>
      <c r="B18" s="110"/>
      <c r="C18" s="125"/>
      <c r="D18" s="110"/>
      <c r="E18" s="110" t="s">
        <v>24</v>
      </c>
      <c r="F18" s="125"/>
      <c r="G18" s="125"/>
      <c r="H18" s="110"/>
      <c r="I18" s="125"/>
      <c r="J18" s="110"/>
      <c r="K18" s="110"/>
      <c r="L18" s="125"/>
      <c r="M18" s="125"/>
      <c r="N18" s="125"/>
      <c r="O18" s="125"/>
      <c r="P18" s="125"/>
      <c r="Q18" s="125"/>
      <c r="R18" s="125"/>
      <c r="S18" s="125"/>
      <c r="T18" s="18">
        <f>IF(D18="Res Space Heat",VLOOKUP(K18,#REF!,4)*H18,IF(D18="Res AC",VLOOKUP(K18,#REF!,6)*H18,IF(D18="Res Lighting",VLOOKUP(K18,#REF!,8)*H18,IF(D18="Res Refrigeration",VLOOKUP(K18,#REF!,10)*H18,IF(D18="Res Water Heating",VLOOKUP(K18,#REF!,12)*H18,IF(D18="Res Dishwasher",VLOOKUP(K18,#REF!,14)*H18,IF(D18="Res Washer Dryer",VLOOKUP(K18,#REF!,16)*H18,IF(D18="Res Misc",VLOOKUP(K18,#REF!,18)*H18,IF(D18="Res Furnace Fan",VLOOKUP(K18,#REF!,20)*H18,IF(D18="NonRes Compressed Air",VLOOKUP(K18,#REF!,22)*H18,IF(D18="NonRes Cooking",VLOOKUP(K18,#REF!,24)*H18,IF(D18="NonRes Space Cooling",VLOOKUP(K18,#REF!,26)*H18,IF(D18="NonRes Exterior Lighting",VLOOKUP(K18,#REF!,28)*H18,IF(D18="NonRes Space Heating",VLOOKUP(K18,#REF!,30)*H18,IF(D18="NonRes Water Heating",VLOOKUP(K18,#REF!,32)*H18,IF(D18="NonRes Interior Lighting",VLOOKUP(K18,#REF!,34)*H18,IF(D18="NonRes Misc",VLOOKUP(K18,#REF!,36)*H18,IF(D18="NonRes Motors",VLOOKUP(K18,#REF!,38)*H18,IF(D18="NonRes Office Equipment",VLOOKUP(K18,#REF!,40)*H18,IF(D18="NonRes Process",VLOOKUP(K18,#REF!,42)*H18,IF(D18="NonRes Refrigeration",VLOOKUP(K18,#REF!,44)*H18,IF(D18="NonRes Ventilation",VLOOKUP(K18,#REF!,46)*H18,0))))))))))))))))))))))</f>
        <v>0</v>
      </c>
      <c r="U18" s="18">
        <f>IF(E18="Annual",VLOOKUP(K18,#REF!,4)*'3.6 - Open'!J18,IF(E18="Winter",VLOOKUP('3.6 - Open'!K18,#REF!,5)*'3.6 - Open'!J18,IF(E18="NA",0,0)))</f>
        <v>0</v>
      </c>
      <c r="V18" s="19">
        <f t="shared" si="0"/>
        <v>0</v>
      </c>
      <c r="W18" s="19">
        <f t="shared" si="1"/>
        <v>0</v>
      </c>
      <c r="X18" s="19">
        <f t="shared" si="2"/>
        <v>0</v>
      </c>
      <c r="Y18" s="19">
        <f t="shared" si="3"/>
        <v>0</v>
      </c>
      <c r="Z18" s="20" t="e">
        <f>(T18+U18+(PV(#REF!,'3.6 - Open'!K18,'3.6 - Open'!P18)*-1)+'3.6 - Open'!O18)/'3.6 - Open'!F18</f>
        <v>#REF!</v>
      </c>
      <c r="AA18" s="20" t="e">
        <f t="shared" si="4"/>
        <v>#DIV/0!</v>
      </c>
      <c r="AB18" s="21">
        <f t="shared" si="5"/>
        <v>0</v>
      </c>
      <c r="AC18" s="20">
        <f t="shared" si="6"/>
        <v>0</v>
      </c>
      <c r="AD18" s="20">
        <f t="shared" si="7"/>
        <v>0</v>
      </c>
      <c r="AE18" s="20">
        <f t="shared" si="8"/>
        <v>0</v>
      </c>
      <c r="AF18" s="19">
        <f t="shared" si="9"/>
        <v>0</v>
      </c>
      <c r="AG18" s="19">
        <f t="shared" si="10"/>
        <v>0</v>
      </c>
      <c r="AH18" s="19">
        <f t="shared" si="11"/>
        <v>0</v>
      </c>
      <c r="AI18" s="19">
        <f t="shared" si="12"/>
        <v>0</v>
      </c>
      <c r="AJ18" s="15">
        <v>0</v>
      </c>
      <c r="AK18" s="19">
        <f t="shared" si="15"/>
        <v>0</v>
      </c>
      <c r="AL18" s="19">
        <f t="shared" si="16"/>
        <v>0</v>
      </c>
      <c r="AM18" s="19">
        <f t="shared" si="13"/>
        <v>0</v>
      </c>
      <c r="AN18" s="19" t="e">
        <f t="shared" si="14"/>
        <v>#DIV/0!</v>
      </c>
      <c r="AO18" s="19" t="e">
        <f t="shared" si="17"/>
        <v>#DIV/0!</v>
      </c>
      <c r="AP18" s="18" t="e">
        <f>-PV(#REF!,'3.6 - Open'!K18,'3.6 - Open'!P18)*'3.6 - Open'!B18</f>
        <v>#REF!</v>
      </c>
      <c r="AQ18" s="19" t="e">
        <f t="shared" si="18"/>
        <v>#REF!</v>
      </c>
      <c r="AR18" s="19" t="e">
        <f t="shared" si="19"/>
        <v>#REF!</v>
      </c>
      <c r="AS18" s="18" t="e">
        <f>B18*H18*K18*#REF!</f>
        <v>#REF!</v>
      </c>
      <c r="AT18" s="19" t="e">
        <f>B18*J18*K18*#REF!</f>
        <v>#REF!</v>
      </c>
      <c r="AU18" s="6"/>
      <c r="AV18" s="6"/>
      <c r="AW18" s="6"/>
      <c r="AX18" s="6"/>
      <c r="AY18" s="6"/>
      <c r="BK18" s="8" t="s">
        <v>18</v>
      </c>
    </row>
    <row r="19" spans="1:63" x14ac:dyDescent="0.25">
      <c r="A19" s="110"/>
      <c r="B19" s="110"/>
      <c r="C19" s="125"/>
      <c r="D19" s="110"/>
      <c r="E19" s="110" t="s">
        <v>24</v>
      </c>
      <c r="F19" s="125"/>
      <c r="G19" s="125"/>
      <c r="H19" s="110"/>
      <c r="I19" s="125"/>
      <c r="J19" s="110"/>
      <c r="K19" s="110"/>
      <c r="L19" s="125"/>
      <c r="M19" s="125"/>
      <c r="N19" s="125"/>
      <c r="O19" s="125"/>
      <c r="P19" s="125"/>
      <c r="Q19" s="125"/>
      <c r="R19" s="125"/>
      <c r="S19" s="125"/>
      <c r="T19" s="18">
        <f>IF(D19="Res Space Heat",VLOOKUP(K19,#REF!,4)*H19,IF(D19="Res AC",VLOOKUP(K19,#REF!,6)*H19,IF(D19="Res Lighting",VLOOKUP(K19,#REF!,8)*H19,IF(D19="Res Refrigeration",VLOOKUP(K19,#REF!,10)*H19,IF(D19="Res Water Heating",VLOOKUP(K19,#REF!,12)*H19,IF(D19="Res Dishwasher",VLOOKUP(K19,#REF!,14)*H19,IF(D19="Res Washer Dryer",VLOOKUP(K19,#REF!,16)*H19,IF(D19="Res Misc",VLOOKUP(K19,#REF!,18)*H19,IF(D19="Res Furnace Fan",VLOOKUP(K19,#REF!,20)*H19,IF(D19="NonRes Compressed Air",VLOOKUP(K19,#REF!,22)*H19,IF(D19="NonRes Cooking",VLOOKUP(K19,#REF!,24)*H19,IF(D19="NonRes Space Cooling",VLOOKUP(K19,#REF!,26)*H19,IF(D19="NonRes Exterior Lighting",VLOOKUP(K19,#REF!,28)*H19,IF(D19="NonRes Space Heating",VLOOKUP(K19,#REF!,30)*H19,IF(D19="NonRes Water Heating",VLOOKUP(K19,#REF!,32)*H19,IF(D19="NonRes Interior Lighting",VLOOKUP(K19,#REF!,34)*H19,IF(D19="NonRes Misc",VLOOKUP(K19,#REF!,36)*H19,IF(D19="NonRes Motors",VLOOKUP(K19,#REF!,38)*H19,IF(D19="NonRes Office Equipment",VLOOKUP(K19,#REF!,40)*H19,IF(D19="NonRes Process",VLOOKUP(K19,#REF!,42)*H19,IF(D19="NonRes Refrigeration",VLOOKUP(K19,#REF!,44)*H19,IF(D19="NonRes Ventilation",VLOOKUP(K19,#REF!,46)*H19,0))))))))))))))))))))))</f>
        <v>0</v>
      </c>
      <c r="U19" s="18">
        <f>IF(E19="Annual",VLOOKUP(K19,#REF!,4)*'3.6 - Open'!J19,IF(E19="Winter",VLOOKUP('3.6 - Open'!K19,#REF!,5)*'3.6 - Open'!J19,IF(E19="NA",0,0)))</f>
        <v>0</v>
      </c>
      <c r="V19" s="19">
        <f t="shared" si="0"/>
        <v>0</v>
      </c>
      <c r="W19" s="19">
        <f t="shared" si="1"/>
        <v>0</v>
      </c>
      <c r="X19" s="19">
        <f t="shared" si="2"/>
        <v>0</v>
      </c>
      <c r="Y19" s="19">
        <f t="shared" si="3"/>
        <v>0</v>
      </c>
      <c r="Z19" s="20" t="e">
        <f>(T19+U19+(PV(#REF!,'3.6 - Open'!K19,'3.6 - Open'!P19)*-1)+'3.6 - Open'!O19)/'3.6 - Open'!F19</f>
        <v>#REF!</v>
      </c>
      <c r="AA19" s="20" t="e">
        <f t="shared" si="4"/>
        <v>#DIV/0!</v>
      </c>
      <c r="AB19" s="21">
        <f t="shared" si="5"/>
        <v>0</v>
      </c>
      <c r="AC19" s="20">
        <f t="shared" si="6"/>
        <v>0</v>
      </c>
      <c r="AD19" s="20">
        <f t="shared" si="7"/>
        <v>0</v>
      </c>
      <c r="AE19" s="20">
        <f t="shared" si="8"/>
        <v>0</v>
      </c>
      <c r="AF19" s="19">
        <f t="shared" si="9"/>
        <v>0</v>
      </c>
      <c r="AG19" s="19">
        <f t="shared" si="10"/>
        <v>0</v>
      </c>
      <c r="AH19" s="19">
        <f t="shared" si="11"/>
        <v>0</v>
      </c>
      <c r="AI19" s="19">
        <f t="shared" si="12"/>
        <v>0</v>
      </c>
      <c r="AJ19" s="15">
        <v>0</v>
      </c>
      <c r="AK19" s="19">
        <f t="shared" si="15"/>
        <v>0</v>
      </c>
      <c r="AL19" s="19">
        <f t="shared" si="16"/>
        <v>0</v>
      </c>
      <c r="AM19" s="19">
        <f t="shared" si="13"/>
        <v>0</v>
      </c>
      <c r="AN19" s="19" t="e">
        <f t="shared" si="14"/>
        <v>#DIV/0!</v>
      </c>
      <c r="AO19" s="19" t="e">
        <f t="shared" si="17"/>
        <v>#DIV/0!</v>
      </c>
      <c r="AP19" s="18" t="e">
        <f>-PV(#REF!,'3.6 - Open'!K19,'3.6 - Open'!P19)*'3.6 - Open'!B19</f>
        <v>#REF!</v>
      </c>
      <c r="AQ19" s="19" t="e">
        <f t="shared" si="18"/>
        <v>#REF!</v>
      </c>
      <c r="AR19" s="19" t="e">
        <f t="shared" si="19"/>
        <v>#REF!</v>
      </c>
      <c r="AS19" s="18" t="e">
        <f>B19*H19*K19*#REF!</f>
        <v>#REF!</v>
      </c>
      <c r="AT19" s="19" t="e">
        <f>B19*J19*K19*#REF!</f>
        <v>#REF!</v>
      </c>
      <c r="AU19" s="6"/>
      <c r="AV19" s="6"/>
      <c r="AW19" s="6"/>
      <c r="AX19" s="6"/>
      <c r="AY19" s="6"/>
      <c r="BK19" s="8" t="s">
        <v>19</v>
      </c>
    </row>
    <row r="20" spans="1:63" x14ac:dyDescent="0.25">
      <c r="A20" s="110"/>
      <c r="B20" s="110"/>
      <c r="C20" s="125"/>
      <c r="D20" s="110"/>
      <c r="E20" s="110" t="s">
        <v>24</v>
      </c>
      <c r="F20" s="125"/>
      <c r="G20" s="125"/>
      <c r="H20" s="110"/>
      <c r="I20" s="125"/>
      <c r="J20" s="110"/>
      <c r="K20" s="110"/>
      <c r="L20" s="125"/>
      <c r="M20" s="125"/>
      <c r="N20" s="125"/>
      <c r="O20" s="125"/>
      <c r="P20" s="125"/>
      <c r="Q20" s="125"/>
      <c r="R20" s="125"/>
      <c r="S20" s="125"/>
      <c r="T20" s="18">
        <f>IF(D20="Res Space Heat",VLOOKUP(K20,#REF!,4)*H20,IF(D20="Res AC",VLOOKUP(K20,#REF!,6)*H20,IF(D20="Res Lighting",VLOOKUP(K20,#REF!,8)*H20,IF(D20="Res Refrigeration",VLOOKUP(K20,#REF!,10)*H20,IF(D20="Res Water Heating",VLOOKUP(K20,#REF!,12)*H20,IF(D20="Res Dishwasher",VLOOKUP(K20,#REF!,14)*H20,IF(D20="Res Washer Dryer",VLOOKUP(K20,#REF!,16)*H20,IF(D20="Res Misc",VLOOKUP(K20,#REF!,18)*H20,IF(D20="Res Furnace Fan",VLOOKUP(K20,#REF!,20)*H20,IF(D20="NonRes Compressed Air",VLOOKUP(K20,#REF!,22)*H20,IF(D20="NonRes Cooking",VLOOKUP(K20,#REF!,24)*H20,IF(D20="NonRes Space Cooling",VLOOKUP(K20,#REF!,26)*H20,IF(D20="NonRes Exterior Lighting",VLOOKUP(K20,#REF!,28)*H20,IF(D20="NonRes Space Heating",VLOOKUP(K20,#REF!,30)*H20,IF(D20="NonRes Water Heating",VLOOKUP(K20,#REF!,32)*H20,IF(D20="NonRes Interior Lighting",VLOOKUP(K20,#REF!,34)*H20,IF(D20="NonRes Misc",VLOOKUP(K20,#REF!,36)*H20,IF(D20="NonRes Motors",VLOOKUP(K20,#REF!,38)*H20,IF(D20="NonRes Office Equipment",VLOOKUP(K20,#REF!,40)*H20,IF(D20="NonRes Process",VLOOKUP(K20,#REF!,42)*H20,IF(D20="NonRes Refrigeration",VLOOKUP(K20,#REF!,44)*H20,IF(D20="NonRes Ventilation",VLOOKUP(K20,#REF!,46)*H20,0))))))))))))))))))))))</f>
        <v>0</v>
      </c>
      <c r="U20" s="18">
        <f>IF(E20="Annual",VLOOKUP(K20,#REF!,4)*'3.6 - Open'!J20,IF(E20="Winter",VLOOKUP('3.6 - Open'!K20,#REF!,5)*'3.6 - Open'!J20,IF(E20="NA",0,0)))</f>
        <v>0</v>
      </c>
      <c r="V20" s="19">
        <f t="shared" si="0"/>
        <v>0</v>
      </c>
      <c r="W20" s="19">
        <f t="shared" si="1"/>
        <v>0</v>
      </c>
      <c r="X20" s="19">
        <f t="shared" si="2"/>
        <v>0</v>
      </c>
      <c r="Y20" s="19">
        <f t="shared" si="3"/>
        <v>0</v>
      </c>
      <c r="Z20" s="20" t="e">
        <f>(T20+U20+(PV(#REF!,'3.6 - Open'!K20,'3.6 - Open'!P20)*-1)+'3.6 - Open'!O20)/'3.6 - Open'!F20</f>
        <v>#REF!</v>
      </c>
      <c r="AA20" s="20" t="e">
        <f t="shared" si="4"/>
        <v>#DIV/0!</v>
      </c>
      <c r="AB20" s="21">
        <f t="shared" si="5"/>
        <v>0</v>
      </c>
      <c r="AC20" s="20">
        <f t="shared" si="6"/>
        <v>0</v>
      </c>
      <c r="AD20" s="20">
        <f t="shared" si="7"/>
        <v>0</v>
      </c>
      <c r="AE20" s="20">
        <f t="shared" si="8"/>
        <v>0</v>
      </c>
      <c r="AF20" s="19">
        <f t="shared" si="9"/>
        <v>0</v>
      </c>
      <c r="AG20" s="19">
        <f t="shared" si="10"/>
        <v>0</v>
      </c>
      <c r="AH20" s="19">
        <f t="shared" si="11"/>
        <v>0</v>
      </c>
      <c r="AI20" s="19">
        <f t="shared" si="12"/>
        <v>0</v>
      </c>
      <c r="AJ20" s="15">
        <v>0</v>
      </c>
      <c r="AK20" s="19">
        <f t="shared" si="15"/>
        <v>0</v>
      </c>
      <c r="AL20" s="19">
        <f t="shared" si="16"/>
        <v>0</v>
      </c>
      <c r="AM20" s="19">
        <f t="shared" si="13"/>
        <v>0</v>
      </c>
      <c r="AN20" s="19" t="e">
        <f t="shared" si="14"/>
        <v>#DIV/0!</v>
      </c>
      <c r="AO20" s="19" t="e">
        <f t="shared" si="17"/>
        <v>#DIV/0!</v>
      </c>
      <c r="AP20" s="18" t="e">
        <f>-PV(#REF!,'3.6 - Open'!K20,'3.6 - Open'!P20)*'3.6 - Open'!B20</f>
        <v>#REF!</v>
      </c>
      <c r="AQ20" s="19" t="e">
        <f t="shared" si="18"/>
        <v>#REF!</v>
      </c>
      <c r="AR20" s="19" t="e">
        <f t="shared" si="19"/>
        <v>#REF!</v>
      </c>
      <c r="AS20" s="18" t="e">
        <f>B20*H20*K20*#REF!</f>
        <v>#REF!</v>
      </c>
      <c r="AT20" s="19" t="e">
        <f>B20*J20*K20*#REF!</f>
        <v>#REF!</v>
      </c>
      <c r="AU20" s="6"/>
      <c r="AV20" s="6"/>
      <c r="AW20" s="6"/>
      <c r="AX20" s="6"/>
      <c r="AY20" s="6"/>
      <c r="BK20" s="8" t="s">
        <v>20</v>
      </c>
    </row>
    <row r="21" spans="1:63" x14ac:dyDescent="0.25">
      <c r="A21" s="110"/>
      <c r="B21" s="110"/>
      <c r="C21" s="125"/>
      <c r="D21" s="110"/>
      <c r="E21" s="110" t="s">
        <v>24</v>
      </c>
      <c r="F21" s="125"/>
      <c r="G21" s="125"/>
      <c r="H21" s="110"/>
      <c r="I21" s="125"/>
      <c r="J21" s="110"/>
      <c r="K21" s="110"/>
      <c r="L21" s="125"/>
      <c r="M21" s="125"/>
      <c r="N21" s="125"/>
      <c r="O21" s="125"/>
      <c r="P21" s="125"/>
      <c r="Q21" s="125"/>
      <c r="R21" s="125"/>
      <c r="S21" s="125"/>
      <c r="T21" s="18">
        <f>IF(D21="Res Space Heat",VLOOKUP(K21,#REF!,4)*H21,IF(D21="Res AC",VLOOKUP(K21,#REF!,6)*H21,IF(D21="Res Lighting",VLOOKUP(K21,#REF!,8)*H21,IF(D21="Res Refrigeration",VLOOKUP(K21,#REF!,10)*H21,IF(D21="Res Water Heating",VLOOKUP(K21,#REF!,12)*H21,IF(D21="Res Dishwasher",VLOOKUP(K21,#REF!,14)*H21,IF(D21="Res Washer Dryer",VLOOKUP(K21,#REF!,16)*H21,IF(D21="Res Misc",VLOOKUP(K21,#REF!,18)*H21,IF(D21="Res Furnace Fan",VLOOKUP(K21,#REF!,20)*H21,IF(D21="NonRes Compressed Air",VLOOKUP(K21,#REF!,22)*H21,IF(D21="NonRes Cooking",VLOOKUP(K21,#REF!,24)*H21,IF(D21="NonRes Space Cooling",VLOOKUP(K21,#REF!,26)*H21,IF(D21="NonRes Exterior Lighting",VLOOKUP(K21,#REF!,28)*H21,IF(D21="NonRes Space Heating",VLOOKUP(K21,#REF!,30)*H21,IF(D21="NonRes Water Heating",VLOOKUP(K21,#REF!,32)*H21,IF(D21="NonRes Interior Lighting",VLOOKUP(K21,#REF!,34)*H21,IF(D21="NonRes Misc",VLOOKUP(K21,#REF!,36)*H21,IF(D21="NonRes Motors",VLOOKUP(K21,#REF!,38)*H21,IF(D21="NonRes Office Equipment",VLOOKUP(K21,#REF!,40)*H21,IF(D21="NonRes Process",VLOOKUP(K21,#REF!,42)*H21,IF(D21="NonRes Refrigeration",VLOOKUP(K21,#REF!,44)*H21,IF(D21="NonRes Ventilation",VLOOKUP(K21,#REF!,46)*H21,0))))))))))))))))))))))</f>
        <v>0</v>
      </c>
      <c r="U21" s="18">
        <f>IF(E21="Annual",VLOOKUP(K21,#REF!,4)*'3.6 - Open'!J21,IF(E21="Winter",VLOOKUP('3.6 - Open'!K21,#REF!,5)*'3.6 - Open'!J21,IF(E21="NA",0,0)))</f>
        <v>0</v>
      </c>
      <c r="V21" s="19">
        <f t="shared" si="0"/>
        <v>0</v>
      </c>
      <c r="W21" s="19">
        <f t="shared" si="1"/>
        <v>0</v>
      </c>
      <c r="X21" s="19">
        <f t="shared" si="2"/>
        <v>0</v>
      </c>
      <c r="Y21" s="19">
        <f t="shared" si="3"/>
        <v>0</v>
      </c>
      <c r="Z21" s="20" t="e">
        <f>(T21+U21+(PV(#REF!,'3.6 - Open'!K21,'3.6 - Open'!P21)*-1)+'3.6 - Open'!O21)/'3.6 - Open'!F21</f>
        <v>#REF!</v>
      </c>
      <c r="AA21" s="20" t="e">
        <f t="shared" si="4"/>
        <v>#DIV/0!</v>
      </c>
      <c r="AB21" s="21">
        <f t="shared" si="5"/>
        <v>0</v>
      </c>
      <c r="AC21" s="20">
        <f t="shared" si="6"/>
        <v>0</v>
      </c>
      <c r="AD21" s="20">
        <f t="shared" si="7"/>
        <v>0</v>
      </c>
      <c r="AE21" s="20">
        <f t="shared" si="8"/>
        <v>0</v>
      </c>
      <c r="AF21" s="19">
        <f t="shared" si="9"/>
        <v>0</v>
      </c>
      <c r="AG21" s="19">
        <f t="shared" si="10"/>
        <v>0</v>
      </c>
      <c r="AH21" s="19">
        <f t="shared" si="11"/>
        <v>0</v>
      </c>
      <c r="AI21" s="19">
        <f t="shared" si="12"/>
        <v>0</v>
      </c>
      <c r="AJ21" s="15">
        <v>0</v>
      </c>
      <c r="AK21" s="19">
        <f t="shared" si="15"/>
        <v>0</v>
      </c>
      <c r="AL21" s="19">
        <f t="shared" si="16"/>
        <v>0</v>
      </c>
      <c r="AM21" s="19">
        <f t="shared" si="13"/>
        <v>0</v>
      </c>
      <c r="AN21" s="19" t="e">
        <f t="shared" si="14"/>
        <v>#DIV/0!</v>
      </c>
      <c r="AO21" s="19" t="e">
        <f t="shared" si="17"/>
        <v>#DIV/0!</v>
      </c>
      <c r="AP21" s="18" t="e">
        <f>-PV(#REF!,'3.6 - Open'!K21,'3.6 - Open'!P21)*'3.6 - Open'!B21</f>
        <v>#REF!</v>
      </c>
      <c r="AQ21" s="19" t="e">
        <f t="shared" si="18"/>
        <v>#REF!</v>
      </c>
      <c r="AR21" s="19" t="e">
        <f t="shared" si="19"/>
        <v>#REF!</v>
      </c>
      <c r="AS21" s="18" t="e">
        <f>B21*H21*K21*#REF!</f>
        <v>#REF!</v>
      </c>
      <c r="AT21" s="19" t="e">
        <f>B21*J21*K21*#REF!</f>
        <v>#REF!</v>
      </c>
      <c r="AU21" s="6"/>
      <c r="AV21" s="6"/>
      <c r="AW21" s="6"/>
      <c r="AX21" s="6"/>
      <c r="AY21" s="6"/>
      <c r="BK21" s="8" t="s">
        <v>21</v>
      </c>
    </row>
    <row r="22" spans="1:63" x14ac:dyDescent="0.25">
      <c r="A22" s="110"/>
      <c r="B22" s="110"/>
      <c r="C22" s="125"/>
      <c r="D22" s="110"/>
      <c r="E22" s="110" t="s">
        <v>24</v>
      </c>
      <c r="F22" s="125"/>
      <c r="G22" s="125"/>
      <c r="H22" s="110"/>
      <c r="I22" s="125"/>
      <c r="J22" s="110"/>
      <c r="K22" s="110"/>
      <c r="L22" s="125"/>
      <c r="M22" s="125"/>
      <c r="N22" s="125"/>
      <c r="O22" s="125"/>
      <c r="P22" s="125"/>
      <c r="Q22" s="125"/>
      <c r="R22" s="125"/>
      <c r="S22" s="125"/>
      <c r="T22" s="18">
        <f>IF(D22="Res Space Heat",VLOOKUP(K22,#REF!,4)*H22,IF(D22="Res AC",VLOOKUP(K22,#REF!,6)*H22,IF(D22="Res Lighting",VLOOKUP(K22,#REF!,8)*H22,IF(D22="Res Refrigeration",VLOOKUP(K22,#REF!,10)*H22,IF(D22="Res Water Heating",VLOOKUP(K22,#REF!,12)*H22,IF(D22="Res Dishwasher",VLOOKUP(K22,#REF!,14)*H22,IF(D22="Res Washer Dryer",VLOOKUP(K22,#REF!,16)*H22,IF(D22="Res Misc",VLOOKUP(K22,#REF!,18)*H22,IF(D22="Res Furnace Fan",VLOOKUP(K22,#REF!,20)*H22,IF(D22="NonRes Compressed Air",VLOOKUP(K22,#REF!,22)*H22,IF(D22="NonRes Cooking",VLOOKUP(K22,#REF!,24)*H22,IF(D22="NonRes Space Cooling",VLOOKUP(K22,#REF!,26)*H22,IF(D22="NonRes Exterior Lighting",VLOOKUP(K22,#REF!,28)*H22,IF(D22="NonRes Space Heating",VLOOKUP(K22,#REF!,30)*H22,IF(D22="NonRes Water Heating",VLOOKUP(K22,#REF!,32)*H22,IF(D22="NonRes Interior Lighting",VLOOKUP(K22,#REF!,34)*H22,IF(D22="NonRes Misc",VLOOKUP(K22,#REF!,36)*H22,IF(D22="NonRes Motors",VLOOKUP(K22,#REF!,38)*H22,IF(D22="NonRes Office Equipment",VLOOKUP(K22,#REF!,40)*H22,IF(D22="NonRes Process",VLOOKUP(K22,#REF!,42)*H22,IF(D22="NonRes Refrigeration",VLOOKUP(K22,#REF!,44)*H22,IF(D22="NonRes Ventilation",VLOOKUP(K22,#REF!,46)*H22,0))))))))))))))))))))))</f>
        <v>0</v>
      </c>
      <c r="U22" s="18">
        <f>IF(E22="Annual",VLOOKUP(K22,#REF!,4)*'3.6 - Open'!J22,IF(E22="Winter",VLOOKUP('3.6 - Open'!K22,#REF!,5)*'3.6 - Open'!J22,IF(E22="NA",0,0)))</f>
        <v>0</v>
      </c>
      <c r="V22" s="19">
        <f t="shared" si="0"/>
        <v>0</v>
      </c>
      <c r="W22" s="19">
        <f t="shared" si="1"/>
        <v>0</v>
      </c>
      <c r="X22" s="19">
        <f t="shared" si="2"/>
        <v>0</v>
      </c>
      <c r="Y22" s="19">
        <f t="shared" si="3"/>
        <v>0</v>
      </c>
      <c r="Z22" s="20" t="e">
        <f>(T22+U22+(PV(#REF!,'3.6 - Open'!K22,'3.6 - Open'!P22)*-1)+'3.6 - Open'!O22)/'3.6 - Open'!F22</f>
        <v>#REF!</v>
      </c>
      <c r="AA22" s="20" t="e">
        <f t="shared" si="4"/>
        <v>#DIV/0!</v>
      </c>
      <c r="AB22" s="21">
        <f t="shared" si="5"/>
        <v>0</v>
      </c>
      <c r="AC22" s="20">
        <f t="shared" si="6"/>
        <v>0</v>
      </c>
      <c r="AD22" s="20">
        <f t="shared" si="7"/>
        <v>0</v>
      </c>
      <c r="AE22" s="20">
        <f t="shared" si="8"/>
        <v>0</v>
      </c>
      <c r="AF22" s="19">
        <f t="shared" si="9"/>
        <v>0</v>
      </c>
      <c r="AG22" s="19">
        <f t="shared" si="10"/>
        <v>0</v>
      </c>
      <c r="AH22" s="19">
        <f t="shared" si="11"/>
        <v>0</v>
      </c>
      <c r="AI22" s="19">
        <f t="shared" si="12"/>
        <v>0</v>
      </c>
      <c r="AJ22" s="15">
        <v>0</v>
      </c>
      <c r="AK22" s="19">
        <f t="shared" si="15"/>
        <v>0</v>
      </c>
      <c r="AL22" s="19">
        <f t="shared" si="16"/>
        <v>0</v>
      </c>
      <c r="AM22" s="19">
        <f t="shared" si="13"/>
        <v>0</v>
      </c>
      <c r="AN22" s="19" t="e">
        <f t="shared" si="14"/>
        <v>#DIV/0!</v>
      </c>
      <c r="AO22" s="19" t="e">
        <f t="shared" si="17"/>
        <v>#DIV/0!</v>
      </c>
      <c r="AP22" s="18" t="e">
        <f>-PV(#REF!,'3.6 - Open'!K22,'3.6 - Open'!P22)*'3.6 - Open'!B22</f>
        <v>#REF!</v>
      </c>
      <c r="AQ22" s="19" t="e">
        <f t="shared" si="18"/>
        <v>#REF!</v>
      </c>
      <c r="AR22" s="19" t="e">
        <f t="shared" si="19"/>
        <v>#REF!</v>
      </c>
      <c r="AS22" s="18" t="e">
        <f>B22*H22*K22*#REF!</f>
        <v>#REF!</v>
      </c>
      <c r="AT22" s="19" t="e">
        <f>B22*J22*K22*#REF!</f>
        <v>#REF!</v>
      </c>
      <c r="AU22" s="6"/>
      <c r="AV22" s="6"/>
      <c r="AW22" s="6"/>
      <c r="AX22" s="6"/>
      <c r="AY22" s="6"/>
      <c r="BK22" s="8" t="s">
        <v>22</v>
      </c>
    </row>
    <row r="23" spans="1:63" x14ac:dyDescent="0.25">
      <c r="A23" s="110"/>
      <c r="B23" s="110"/>
      <c r="C23" s="125"/>
      <c r="D23" s="110"/>
      <c r="E23" s="110" t="s">
        <v>24</v>
      </c>
      <c r="F23" s="125"/>
      <c r="G23" s="125"/>
      <c r="H23" s="110"/>
      <c r="I23" s="125"/>
      <c r="J23" s="110"/>
      <c r="K23" s="110"/>
      <c r="L23" s="125"/>
      <c r="M23" s="125"/>
      <c r="N23" s="125"/>
      <c r="O23" s="125"/>
      <c r="P23" s="125"/>
      <c r="Q23" s="125"/>
      <c r="R23" s="125"/>
      <c r="S23" s="125"/>
      <c r="T23" s="18">
        <f>IF(D23="Res Space Heat",VLOOKUP(K23,#REF!,4)*H23,IF(D23="Res AC",VLOOKUP(K23,#REF!,6)*H23,IF(D23="Res Lighting",VLOOKUP(K23,#REF!,8)*H23,IF(D23="Res Refrigeration",VLOOKUP(K23,#REF!,10)*H23,IF(D23="Res Water Heating",VLOOKUP(K23,#REF!,12)*H23,IF(D23="Res Dishwasher",VLOOKUP(K23,#REF!,14)*H23,IF(D23="Res Washer Dryer",VLOOKUP(K23,#REF!,16)*H23,IF(D23="Res Misc",VLOOKUP(K23,#REF!,18)*H23,IF(D23="Res Furnace Fan",VLOOKUP(K23,#REF!,20)*H23,IF(D23="NonRes Compressed Air",VLOOKUP(K23,#REF!,22)*H23,IF(D23="NonRes Cooking",VLOOKUP(K23,#REF!,24)*H23,IF(D23="NonRes Space Cooling",VLOOKUP(K23,#REF!,26)*H23,IF(D23="NonRes Exterior Lighting",VLOOKUP(K23,#REF!,28)*H23,IF(D23="NonRes Space Heating",VLOOKUP(K23,#REF!,30)*H23,IF(D23="NonRes Water Heating",VLOOKUP(K23,#REF!,32)*H23,IF(D23="NonRes Interior Lighting",VLOOKUP(K23,#REF!,34)*H23,IF(D23="NonRes Misc",VLOOKUP(K23,#REF!,36)*H23,IF(D23="NonRes Motors",VLOOKUP(K23,#REF!,38)*H23,IF(D23="NonRes Office Equipment",VLOOKUP(K23,#REF!,40)*H23,IF(D23="NonRes Process",VLOOKUP(K23,#REF!,42)*H23,IF(D23="NonRes Refrigeration",VLOOKUP(K23,#REF!,44)*H23,IF(D23="NonRes Ventilation",VLOOKUP(K23,#REF!,46)*H23,0))))))))))))))))))))))</f>
        <v>0</v>
      </c>
      <c r="U23" s="18">
        <f>IF(E23="Annual",VLOOKUP(K23,#REF!,4)*'3.6 - Open'!J23,IF(E23="Winter",VLOOKUP('3.6 - Open'!K23,#REF!,5)*'3.6 - Open'!J23,IF(E23="NA",0,0)))</f>
        <v>0</v>
      </c>
      <c r="V23" s="19">
        <f t="shared" si="0"/>
        <v>0</v>
      </c>
      <c r="W23" s="19">
        <f t="shared" si="1"/>
        <v>0</v>
      </c>
      <c r="X23" s="19">
        <f t="shared" si="2"/>
        <v>0</v>
      </c>
      <c r="Y23" s="19">
        <f t="shared" si="3"/>
        <v>0</v>
      </c>
      <c r="Z23" s="20" t="e">
        <f>(T23+U23+(PV(#REF!,'3.6 - Open'!K23,'3.6 - Open'!P23)*-1)+'3.6 - Open'!O23)/'3.6 - Open'!F23</f>
        <v>#REF!</v>
      </c>
      <c r="AA23" s="20" t="e">
        <f t="shared" si="4"/>
        <v>#DIV/0!</v>
      </c>
      <c r="AB23" s="21">
        <f t="shared" si="5"/>
        <v>0</v>
      </c>
      <c r="AC23" s="20">
        <f t="shared" si="6"/>
        <v>0</v>
      </c>
      <c r="AD23" s="20">
        <f t="shared" si="7"/>
        <v>0</v>
      </c>
      <c r="AE23" s="20">
        <f t="shared" si="8"/>
        <v>0</v>
      </c>
      <c r="AF23" s="19">
        <f t="shared" si="9"/>
        <v>0</v>
      </c>
      <c r="AG23" s="19">
        <f t="shared" si="10"/>
        <v>0</v>
      </c>
      <c r="AH23" s="19">
        <f t="shared" si="11"/>
        <v>0</v>
      </c>
      <c r="AI23" s="19">
        <f t="shared" si="12"/>
        <v>0</v>
      </c>
      <c r="AJ23" s="15">
        <v>0</v>
      </c>
      <c r="AK23" s="19">
        <f t="shared" si="15"/>
        <v>0</v>
      </c>
      <c r="AL23" s="19">
        <f t="shared" si="16"/>
        <v>0</v>
      </c>
      <c r="AM23" s="19">
        <f t="shared" si="13"/>
        <v>0</v>
      </c>
      <c r="AN23" s="19" t="e">
        <f t="shared" si="14"/>
        <v>#DIV/0!</v>
      </c>
      <c r="AO23" s="19" t="e">
        <f t="shared" si="17"/>
        <v>#DIV/0!</v>
      </c>
      <c r="AP23" s="18" t="e">
        <f>-PV(#REF!,'3.6 - Open'!K23,'3.6 - Open'!P23)*'3.6 - Open'!B23</f>
        <v>#REF!</v>
      </c>
      <c r="AQ23" s="19" t="e">
        <f t="shared" si="18"/>
        <v>#REF!</v>
      </c>
      <c r="AR23" s="19" t="e">
        <f t="shared" si="19"/>
        <v>#REF!</v>
      </c>
      <c r="AS23" s="18" t="e">
        <f>B23*H23*K23*#REF!</f>
        <v>#REF!</v>
      </c>
      <c r="AT23" s="19" t="e">
        <f>B23*J23*K23*#REF!</f>
        <v>#REF!</v>
      </c>
      <c r="AU23" s="6"/>
      <c r="AV23" s="6"/>
      <c r="AW23" s="6"/>
      <c r="AX23" s="6"/>
      <c r="AY23" s="6"/>
      <c r="BK23" s="8"/>
    </row>
    <row r="24" spans="1:63" x14ac:dyDescent="0.25">
      <c r="A24" s="140"/>
      <c r="B24" s="113"/>
      <c r="C24" s="125"/>
      <c r="D24" s="110"/>
      <c r="E24" s="110" t="s">
        <v>24</v>
      </c>
      <c r="F24" s="125"/>
      <c r="G24" s="125"/>
      <c r="H24" s="110"/>
      <c r="I24" s="125"/>
      <c r="J24" s="110"/>
      <c r="K24" s="110"/>
      <c r="L24" s="125"/>
      <c r="M24" s="125"/>
      <c r="N24" s="125"/>
      <c r="O24" s="125"/>
      <c r="P24" s="125"/>
      <c r="Q24" s="125"/>
      <c r="R24" s="125"/>
      <c r="S24" s="125"/>
      <c r="T24" s="18">
        <f>IF(D24="Res Space Heat",VLOOKUP(K24,#REF!,4)*H24,IF(D24="Res AC",VLOOKUP(K24,#REF!,6)*H24,IF(D24="Res Lighting",VLOOKUP(K24,#REF!,8)*H24,IF(D24="Res Refrigeration",VLOOKUP(K24,#REF!,10)*H24,IF(D24="Res Water Heating",VLOOKUP(K24,#REF!,12)*H24,IF(D24="Res Dishwasher",VLOOKUP(K24,#REF!,14)*H24,IF(D24="Res Washer Dryer",VLOOKUP(K24,#REF!,16)*H24,IF(D24="Res Misc",VLOOKUP(K24,#REF!,18)*H24,IF(D24="Res Furnace Fan",VLOOKUP(K24,#REF!,20)*H24,IF(D24="NonRes Compressed Air",VLOOKUP(K24,#REF!,22)*H24,IF(D24="NonRes Cooking",VLOOKUP(K24,#REF!,24)*H24,IF(D24="NonRes Space Cooling",VLOOKUP(K24,#REF!,26)*H24,IF(D24="NonRes Exterior Lighting",VLOOKUP(K24,#REF!,28)*H24,IF(D24="NonRes Space Heating",VLOOKUP(K24,#REF!,30)*H24,IF(D24="NonRes Water Heating",VLOOKUP(K24,#REF!,32)*H24,IF(D24="NonRes Interior Lighting",VLOOKUP(K24,#REF!,34)*H24,IF(D24="NonRes Misc",VLOOKUP(K24,#REF!,36)*H24,IF(D24="NonRes Motors",VLOOKUP(K24,#REF!,38)*H24,IF(D24="NonRes Office Equipment",VLOOKUP(K24,#REF!,40)*H24,IF(D24="NonRes Process",VLOOKUP(K24,#REF!,42)*H24,IF(D24="NonRes Refrigeration",VLOOKUP(K24,#REF!,44)*H24,IF(D24="NonRes Ventilation",VLOOKUP(K24,#REF!,46)*H24,0))))))))))))))))))))))</f>
        <v>0</v>
      </c>
      <c r="U24" s="18">
        <f>IF(E24="Annual",VLOOKUP(K24,#REF!,4)*'3.6 - Open'!J24,IF(E24="Winter",VLOOKUP('3.6 - Open'!K24,#REF!,5)*'3.6 - Open'!J24,IF(E24="NA",0,0)))</f>
        <v>0</v>
      </c>
      <c r="V24" s="19">
        <f t="shared" si="0"/>
        <v>0</v>
      </c>
      <c r="W24" s="19">
        <f t="shared" si="1"/>
        <v>0</v>
      </c>
      <c r="X24" s="19">
        <f t="shared" si="2"/>
        <v>0</v>
      </c>
      <c r="Y24" s="19">
        <f t="shared" si="3"/>
        <v>0</v>
      </c>
      <c r="Z24" s="20" t="e">
        <f>(T24+U24+(PV(#REF!,'3.6 - Open'!K24,'3.6 - Open'!P24)*-1)+'3.6 - Open'!O24)/'3.6 - Open'!F24</f>
        <v>#REF!</v>
      </c>
      <c r="AA24" s="20" t="e">
        <f t="shared" si="4"/>
        <v>#DIV/0!</v>
      </c>
      <c r="AB24" s="21">
        <f t="shared" si="5"/>
        <v>0</v>
      </c>
      <c r="AC24" s="20">
        <f t="shared" si="6"/>
        <v>0</v>
      </c>
      <c r="AD24" s="20">
        <f t="shared" si="7"/>
        <v>0</v>
      </c>
      <c r="AE24" s="20">
        <f t="shared" si="8"/>
        <v>0</v>
      </c>
      <c r="AF24" s="19">
        <f t="shared" si="9"/>
        <v>0</v>
      </c>
      <c r="AG24" s="19">
        <f t="shared" si="10"/>
        <v>0</v>
      </c>
      <c r="AH24" s="19">
        <f t="shared" si="11"/>
        <v>0</v>
      </c>
      <c r="AI24" s="19">
        <f t="shared" si="12"/>
        <v>0</v>
      </c>
      <c r="AJ24" s="15">
        <v>0</v>
      </c>
      <c r="AK24" s="19">
        <f t="shared" si="15"/>
        <v>0</v>
      </c>
      <c r="AL24" s="19">
        <f t="shared" si="16"/>
        <v>0</v>
      </c>
      <c r="AM24" s="19">
        <f t="shared" si="13"/>
        <v>0</v>
      </c>
      <c r="AN24" s="19" t="e">
        <f t="shared" si="14"/>
        <v>#DIV/0!</v>
      </c>
      <c r="AO24" s="19" t="e">
        <f t="shared" si="17"/>
        <v>#DIV/0!</v>
      </c>
      <c r="AP24" s="18" t="e">
        <f>-PV(#REF!,'3.6 - Open'!K24,'3.6 - Open'!P24)*'3.6 - Open'!B24</f>
        <v>#REF!</v>
      </c>
      <c r="AQ24" s="19" t="e">
        <f t="shared" si="18"/>
        <v>#REF!</v>
      </c>
      <c r="AR24" s="19" t="e">
        <f t="shared" si="19"/>
        <v>#REF!</v>
      </c>
      <c r="AS24" s="18" t="e">
        <f>B24*H24*K24*#REF!</f>
        <v>#REF!</v>
      </c>
      <c r="AT24" s="19" t="e">
        <f>B24*J24*K24*#REF!</f>
        <v>#REF!</v>
      </c>
      <c r="AU24" s="6"/>
      <c r="AV24" s="6"/>
      <c r="AW24" s="6"/>
      <c r="AX24" s="6"/>
      <c r="AY24" s="6"/>
      <c r="BK24" s="8" t="s">
        <v>0</v>
      </c>
    </row>
    <row r="25" spans="1:63" x14ac:dyDescent="0.25">
      <c r="A25" s="140"/>
      <c r="B25" s="113"/>
      <c r="C25" s="125"/>
      <c r="D25" s="110"/>
      <c r="E25" s="110" t="s">
        <v>24</v>
      </c>
      <c r="F25" s="125"/>
      <c r="G25" s="125"/>
      <c r="H25" s="110"/>
      <c r="I25" s="125"/>
      <c r="J25" s="110"/>
      <c r="K25" s="110"/>
      <c r="L25" s="125"/>
      <c r="M25" s="125"/>
      <c r="N25" s="125"/>
      <c r="O25" s="125"/>
      <c r="P25" s="125"/>
      <c r="Q25" s="125"/>
      <c r="R25" s="125"/>
      <c r="S25" s="125"/>
      <c r="T25" s="18">
        <f>IF(D25="Res Space Heat",VLOOKUP(K25,#REF!,4)*H25,IF(D25="Res AC",VLOOKUP(K25,#REF!,6)*H25,IF(D25="Res Lighting",VLOOKUP(K25,#REF!,8)*H25,IF(D25="Res Refrigeration",VLOOKUP(K25,#REF!,10)*H25,IF(D25="Res Water Heating",VLOOKUP(K25,#REF!,12)*H25,IF(D25="Res Dishwasher",VLOOKUP(K25,#REF!,14)*H25,IF(D25="Res Washer Dryer",VLOOKUP(K25,#REF!,16)*H25,IF(D25="Res Misc",VLOOKUP(K25,#REF!,18)*H25,IF(D25="Res Furnace Fan",VLOOKUP(K25,#REF!,20)*H25,IF(D25="NonRes Compressed Air",VLOOKUP(K25,#REF!,22)*H25,IF(D25="NonRes Cooking",VLOOKUP(K25,#REF!,24)*H25,IF(D25="NonRes Space Cooling",VLOOKUP(K25,#REF!,26)*H25,IF(D25="NonRes Exterior Lighting",VLOOKUP(K25,#REF!,28)*H25,IF(D25="NonRes Space Heating",VLOOKUP(K25,#REF!,30)*H25,IF(D25="NonRes Water Heating",VLOOKUP(K25,#REF!,32)*H25,IF(D25="NonRes Interior Lighting",VLOOKUP(K25,#REF!,34)*H25,IF(D25="NonRes Misc",VLOOKUP(K25,#REF!,36)*H25,IF(D25="NonRes Motors",VLOOKUP(K25,#REF!,38)*H25,IF(D25="NonRes Office Equipment",VLOOKUP(K25,#REF!,40)*H25,IF(D25="NonRes Process",VLOOKUP(K25,#REF!,42)*H25,IF(D25="NonRes Refrigeration",VLOOKUP(K25,#REF!,44)*H25,IF(D25="NonRes Ventilation",VLOOKUP(K25,#REF!,46)*H25,0))))))))))))))))))))))</f>
        <v>0</v>
      </c>
      <c r="U25" s="18">
        <f>IF(E25="Annual",VLOOKUP(K25,#REF!,4)*'3.6 - Open'!J25,IF(E25="Winter",VLOOKUP('3.6 - Open'!K25,#REF!,5)*'3.6 - Open'!J25,IF(E25="NA",0,0)))</f>
        <v>0</v>
      </c>
      <c r="V25" s="19">
        <f t="shared" si="0"/>
        <v>0</v>
      </c>
      <c r="W25" s="19">
        <f t="shared" si="1"/>
        <v>0</v>
      </c>
      <c r="X25" s="19">
        <f t="shared" si="2"/>
        <v>0</v>
      </c>
      <c r="Y25" s="19">
        <f t="shared" si="3"/>
        <v>0</v>
      </c>
      <c r="Z25" s="20" t="e">
        <f>(T25+U25+(PV(#REF!,'3.6 - Open'!K25,'3.6 - Open'!P25)*-1)+'3.6 - Open'!O25)/'3.6 - Open'!F25</f>
        <v>#REF!</v>
      </c>
      <c r="AA25" s="20" t="e">
        <f t="shared" si="4"/>
        <v>#DIV/0!</v>
      </c>
      <c r="AB25" s="21">
        <f t="shared" si="5"/>
        <v>0</v>
      </c>
      <c r="AC25" s="20">
        <f t="shared" si="6"/>
        <v>0</v>
      </c>
      <c r="AD25" s="20">
        <f t="shared" si="7"/>
        <v>0</v>
      </c>
      <c r="AE25" s="20">
        <f t="shared" si="8"/>
        <v>0</v>
      </c>
      <c r="AF25" s="19">
        <f t="shared" si="9"/>
        <v>0</v>
      </c>
      <c r="AG25" s="19">
        <f t="shared" si="10"/>
        <v>0</v>
      </c>
      <c r="AH25" s="19">
        <f t="shared" si="11"/>
        <v>0</v>
      </c>
      <c r="AI25" s="19">
        <f t="shared" si="12"/>
        <v>0</v>
      </c>
      <c r="AJ25" s="15">
        <v>0</v>
      </c>
      <c r="AK25" s="19">
        <f t="shared" si="15"/>
        <v>0</v>
      </c>
      <c r="AL25" s="19">
        <f t="shared" si="16"/>
        <v>0</v>
      </c>
      <c r="AM25" s="19">
        <f t="shared" si="13"/>
        <v>0</v>
      </c>
      <c r="AN25" s="19" t="e">
        <f t="shared" si="14"/>
        <v>#DIV/0!</v>
      </c>
      <c r="AO25" s="19" t="e">
        <f t="shared" si="17"/>
        <v>#DIV/0!</v>
      </c>
      <c r="AP25" s="18" t="e">
        <f>-PV(#REF!,'3.6 - Open'!K25,'3.6 - Open'!P25)*'3.6 - Open'!B25</f>
        <v>#REF!</v>
      </c>
      <c r="AQ25" s="19" t="e">
        <f t="shared" si="18"/>
        <v>#REF!</v>
      </c>
      <c r="AR25" s="19" t="e">
        <f t="shared" si="19"/>
        <v>#REF!</v>
      </c>
      <c r="AS25" s="18" t="e">
        <f>B25*H25*K25*#REF!</f>
        <v>#REF!</v>
      </c>
      <c r="AT25" s="19" t="e">
        <f>B25*J25*K25*#REF!</f>
        <v>#REF!</v>
      </c>
      <c r="AU25" s="6"/>
      <c r="AV25" s="6"/>
      <c r="AW25" s="6"/>
      <c r="AX25" s="6"/>
      <c r="AY25" s="6"/>
      <c r="BK25" s="8" t="s">
        <v>26</v>
      </c>
    </row>
    <row r="26" spans="1:63" x14ac:dyDescent="0.25">
      <c r="A26" s="140"/>
      <c r="B26" s="113"/>
      <c r="C26" s="125"/>
      <c r="D26" s="110"/>
      <c r="E26" s="110" t="s">
        <v>24</v>
      </c>
      <c r="F26" s="125"/>
      <c r="G26" s="125"/>
      <c r="H26" s="110"/>
      <c r="I26" s="125"/>
      <c r="J26" s="110"/>
      <c r="K26" s="110"/>
      <c r="L26" s="125"/>
      <c r="M26" s="125"/>
      <c r="N26" s="125"/>
      <c r="O26" s="125"/>
      <c r="P26" s="125"/>
      <c r="Q26" s="125"/>
      <c r="R26" s="125"/>
      <c r="S26" s="125"/>
      <c r="T26" s="18">
        <f>IF(D26="Res Space Heat",VLOOKUP(K26,#REF!,4)*H26,IF(D26="Res AC",VLOOKUP(K26,#REF!,6)*H26,IF(D26="Res Lighting",VLOOKUP(K26,#REF!,8)*H26,IF(D26="Res Refrigeration",VLOOKUP(K26,#REF!,10)*H26,IF(D26="Res Water Heating",VLOOKUP(K26,#REF!,12)*H26,IF(D26="Res Dishwasher",VLOOKUP(K26,#REF!,14)*H26,IF(D26="Res Washer Dryer",VLOOKUP(K26,#REF!,16)*H26,IF(D26="Res Misc",VLOOKUP(K26,#REF!,18)*H26,IF(D26="Res Furnace Fan",VLOOKUP(K26,#REF!,20)*H26,IF(D26="NonRes Compressed Air",VLOOKUP(K26,#REF!,22)*H26,IF(D26="NonRes Cooking",VLOOKUP(K26,#REF!,24)*H26,IF(D26="NonRes Space Cooling",VLOOKUP(K26,#REF!,26)*H26,IF(D26="NonRes Exterior Lighting",VLOOKUP(K26,#REF!,28)*H26,IF(D26="NonRes Space Heating",VLOOKUP(K26,#REF!,30)*H26,IF(D26="NonRes Water Heating",VLOOKUP(K26,#REF!,32)*H26,IF(D26="NonRes Interior Lighting",VLOOKUP(K26,#REF!,34)*H26,IF(D26="NonRes Misc",VLOOKUP(K26,#REF!,36)*H26,IF(D26="NonRes Motors",VLOOKUP(K26,#REF!,38)*H26,IF(D26="NonRes Office Equipment",VLOOKUP(K26,#REF!,40)*H26,IF(D26="NonRes Process",VLOOKUP(K26,#REF!,42)*H26,IF(D26="NonRes Refrigeration",VLOOKUP(K26,#REF!,44)*H26,IF(D26="NonRes Ventilation",VLOOKUP(K26,#REF!,46)*H26,0))))))))))))))))))))))</f>
        <v>0</v>
      </c>
      <c r="U26" s="18">
        <f>IF(E26="Annual",VLOOKUP(K26,#REF!,4)*'3.6 - Open'!J26,IF(E26="Winter",VLOOKUP('3.6 - Open'!K26,#REF!,5)*'3.6 - Open'!J26,IF(E26="NA",0,0)))</f>
        <v>0</v>
      </c>
      <c r="V26" s="19">
        <f t="shared" si="0"/>
        <v>0</v>
      </c>
      <c r="W26" s="19">
        <f t="shared" si="1"/>
        <v>0</v>
      </c>
      <c r="X26" s="19">
        <f t="shared" si="2"/>
        <v>0</v>
      </c>
      <c r="Y26" s="19">
        <f t="shared" si="3"/>
        <v>0</v>
      </c>
      <c r="Z26" s="20" t="e">
        <f>(T26+U26+(PV(#REF!,'3.6 - Open'!K26,'3.6 - Open'!P26)*-1)+'3.6 - Open'!O26)/'3.6 - Open'!F26</f>
        <v>#REF!</v>
      </c>
      <c r="AA26" s="20" t="e">
        <f t="shared" si="4"/>
        <v>#DIV/0!</v>
      </c>
      <c r="AB26" s="21">
        <f t="shared" si="5"/>
        <v>0</v>
      </c>
      <c r="AC26" s="20">
        <f t="shared" si="6"/>
        <v>0</v>
      </c>
      <c r="AD26" s="20">
        <f t="shared" si="7"/>
        <v>0</v>
      </c>
      <c r="AE26" s="20">
        <f t="shared" si="8"/>
        <v>0</v>
      </c>
      <c r="AF26" s="19">
        <f t="shared" si="9"/>
        <v>0</v>
      </c>
      <c r="AG26" s="19">
        <f t="shared" si="10"/>
        <v>0</v>
      </c>
      <c r="AH26" s="19">
        <f t="shared" si="11"/>
        <v>0</v>
      </c>
      <c r="AI26" s="19">
        <f t="shared" si="12"/>
        <v>0</v>
      </c>
      <c r="AJ26" s="15">
        <v>0</v>
      </c>
      <c r="AK26" s="19">
        <f t="shared" si="15"/>
        <v>0</v>
      </c>
      <c r="AL26" s="19">
        <f t="shared" si="16"/>
        <v>0</v>
      </c>
      <c r="AM26" s="19">
        <f t="shared" si="13"/>
        <v>0</v>
      </c>
      <c r="AN26" s="19" t="e">
        <f t="shared" si="14"/>
        <v>#DIV/0!</v>
      </c>
      <c r="AO26" s="19" t="e">
        <f t="shared" si="17"/>
        <v>#DIV/0!</v>
      </c>
      <c r="AP26" s="18" t="e">
        <f>-PV(#REF!,'3.6 - Open'!K26,'3.6 - Open'!P26)*'3.6 - Open'!B26</f>
        <v>#REF!</v>
      </c>
      <c r="AQ26" s="19" t="e">
        <f t="shared" si="18"/>
        <v>#REF!</v>
      </c>
      <c r="AR26" s="19" t="e">
        <f t="shared" si="19"/>
        <v>#REF!</v>
      </c>
      <c r="AS26" s="18" t="e">
        <f>B26*H26*K26*#REF!</f>
        <v>#REF!</v>
      </c>
      <c r="AT26" s="19" t="e">
        <f>B26*J26*K26*#REF!</f>
        <v>#REF!</v>
      </c>
      <c r="AU26" s="6"/>
      <c r="AV26" s="6"/>
      <c r="AW26" s="6"/>
      <c r="AX26" s="6"/>
      <c r="AY26" s="6"/>
      <c r="BK26" s="8" t="s">
        <v>24</v>
      </c>
    </row>
    <row r="27" spans="1:63" x14ac:dyDescent="0.25">
      <c r="A27" s="140"/>
      <c r="B27" s="113"/>
      <c r="C27" s="125"/>
      <c r="D27" s="110"/>
      <c r="E27" s="110" t="s">
        <v>24</v>
      </c>
      <c r="F27" s="125"/>
      <c r="G27" s="125"/>
      <c r="H27" s="110"/>
      <c r="I27" s="125"/>
      <c r="J27" s="110"/>
      <c r="K27" s="110"/>
      <c r="L27" s="125"/>
      <c r="M27" s="125"/>
      <c r="N27" s="125"/>
      <c r="O27" s="125"/>
      <c r="P27" s="125"/>
      <c r="Q27" s="125"/>
      <c r="R27" s="125"/>
      <c r="S27" s="125"/>
      <c r="T27" s="18">
        <f>IF(D27="Res Space Heat",VLOOKUP(K27,#REF!,4)*H27,IF(D27="Res AC",VLOOKUP(K27,#REF!,6)*H27,IF(D27="Res Lighting",VLOOKUP(K27,#REF!,8)*H27,IF(D27="Res Refrigeration",VLOOKUP(K27,#REF!,10)*H27,IF(D27="Res Water Heating",VLOOKUP(K27,#REF!,12)*H27,IF(D27="Res Dishwasher",VLOOKUP(K27,#REF!,14)*H27,IF(D27="Res Washer Dryer",VLOOKUP(K27,#REF!,16)*H27,IF(D27="Res Misc",VLOOKUP(K27,#REF!,18)*H27,IF(D27="Res Furnace Fan",VLOOKUP(K27,#REF!,20)*H27,IF(D27="NonRes Compressed Air",VLOOKUP(K27,#REF!,22)*H27,IF(D27="NonRes Cooking",VLOOKUP(K27,#REF!,24)*H27,IF(D27="NonRes Space Cooling",VLOOKUP(K27,#REF!,26)*H27,IF(D27="NonRes Exterior Lighting",VLOOKUP(K27,#REF!,28)*H27,IF(D27="NonRes Space Heating",VLOOKUP(K27,#REF!,30)*H27,IF(D27="NonRes Water Heating",VLOOKUP(K27,#REF!,32)*H27,IF(D27="NonRes Interior Lighting",VLOOKUP(K27,#REF!,34)*H27,IF(D27="NonRes Misc",VLOOKUP(K27,#REF!,36)*H27,IF(D27="NonRes Motors",VLOOKUP(K27,#REF!,38)*H27,IF(D27="NonRes Office Equipment",VLOOKUP(K27,#REF!,40)*H27,IF(D27="NonRes Process",VLOOKUP(K27,#REF!,42)*H27,IF(D27="NonRes Refrigeration",VLOOKUP(K27,#REF!,44)*H27,IF(D27="NonRes Ventilation",VLOOKUP(K27,#REF!,46)*H27,0))))))))))))))))))))))</f>
        <v>0</v>
      </c>
      <c r="U27" s="18">
        <f>IF(E27="Annual",VLOOKUP(K27,#REF!,4)*'3.6 - Open'!J27,IF(E27="Winter",VLOOKUP('3.6 - Open'!K27,#REF!,5)*'3.6 - Open'!J27,IF(E27="NA",0,0)))</f>
        <v>0</v>
      </c>
      <c r="V27" s="19">
        <f t="shared" si="0"/>
        <v>0</v>
      </c>
      <c r="W27" s="19">
        <f t="shared" si="1"/>
        <v>0</v>
      </c>
      <c r="X27" s="19">
        <f t="shared" si="2"/>
        <v>0</v>
      </c>
      <c r="Y27" s="19">
        <f t="shared" si="3"/>
        <v>0</v>
      </c>
      <c r="Z27" s="20" t="e">
        <f>(T27+U27+(PV(#REF!,'3.6 - Open'!K27,'3.6 - Open'!P27)*-1)+'3.6 - Open'!O27)/'3.6 - Open'!F27</f>
        <v>#REF!</v>
      </c>
      <c r="AA27" s="20" t="e">
        <f t="shared" si="4"/>
        <v>#DIV/0!</v>
      </c>
      <c r="AB27" s="21">
        <f t="shared" si="5"/>
        <v>0</v>
      </c>
      <c r="AC27" s="20">
        <f t="shared" si="6"/>
        <v>0</v>
      </c>
      <c r="AD27" s="20">
        <f t="shared" si="7"/>
        <v>0</v>
      </c>
      <c r="AE27" s="20">
        <f t="shared" si="8"/>
        <v>0</v>
      </c>
      <c r="AF27" s="19">
        <f t="shared" si="9"/>
        <v>0</v>
      </c>
      <c r="AG27" s="19">
        <f t="shared" si="10"/>
        <v>0</v>
      </c>
      <c r="AH27" s="19">
        <f t="shared" si="11"/>
        <v>0</v>
      </c>
      <c r="AI27" s="19">
        <f t="shared" si="12"/>
        <v>0</v>
      </c>
      <c r="AJ27" s="15">
        <v>0</v>
      </c>
      <c r="AK27" s="19">
        <f t="shared" si="15"/>
        <v>0</v>
      </c>
      <c r="AL27" s="19">
        <f t="shared" si="16"/>
        <v>0</v>
      </c>
      <c r="AM27" s="19">
        <f t="shared" si="13"/>
        <v>0</v>
      </c>
      <c r="AN27" s="19" t="e">
        <f t="shared" si="14"/>
        <v>#DIV/0!</v>
      </c>
      <c r="AO27" s="19" t="e">
        <f t="shared" si="17"/>
        <v>#DIV/0!</v>
      </c>
      <c r="AP27" s="18" t="e">
        <f>-PV(#REF!,'3.6 - Open'!K27,'3.6 - Open'!P27)*'3.6 - Open'!B27</f>
        <v>#REF!</v>
      </c>
      <c r="AQ27" s="19" t="e">
        <f t="shared" si="18"/>
        <v>#REF!</v>
      </c>
      <c r="AR27" s="19" t="e">
        <f t="shared" si="19"/>
        <v>#REF!</v>
      </c>
      <c r="AS27" s="18" t="e">
        <f>B27*H27*K27*#REF!</f>
        <v>#REF!</v>
      </c>
      <c r="AT27" s="19" t="e">
        <f>B27*J27*K27*#REF!</f>
        <v>#REF!</v>
      </c>
      <c r="AU27" s="6"/>
      <c r="AV27" s="6"/>
      <c r="AW27" s="6"/>
      <c r="AX27" s="6"/>
      <c r="AY27" s="6"/>
    </row>
    <row r="28" spans="1:63" x14ac:dyDescent="0.25">
      <c r="A28" s="140"/>
      <c r="B28" s="113"/>
      <c r="C28" s="125"/>
      <c r="D28" s="110"/>
      <c r="E28" s="110" t="s">
        <v>24</v>
      </c>
      <c r="F28" s="125"/>
      <c r="G28" s="125"/>
      <c r="H28" s="110"/>
      <c r="I28" s="125"/>
      <c r="J28" s="110"/>
      <c r="K28" s="110"/>
      <c r="L28" s="125"/>
      <c r="M28" s="125"/>
      <c r="N28" s="125"/>
      <c r="O28" s="125"/>
      <c r="P28" s="125"/>
      <c r="Q28" s="125"/>
      <c r="R28" s="125"/>
      <c r="S28" s="125"/>
      <c r="T28" s="18">
        <f>IF(D28="Res Space Heat",VLOOKUP(K28,#REF!,4)*H28,IF(D28="Res AC",VLOOKUP(K28,#REF!,6)*H28,IF(D28="Res Lighting",VLOOKUP(K28,#REF!,8)*H28,IF(D28="Res Refrigeration",VLOOKUP(K28,#REF!,10)*H28,IF(D28="Res Water Heating",VLOOKUP(K28,#REF!,12)*H28,IF(D28="Res Dishwasher",VLOOKUP(K28,#REF!,14)*H28,IF(D28="Res Washer Dryer",VLOOKUP(K28,#REF!,16)*H28,IF(D28="Res Misc",VLOOKUP(K28,#REF!,18)*H28,IF(D28="Res Furnace Fan",VLOOKUP(K28,#REF!,20)*H28,IF(D28="NonRes Compressed Air",VLOOKUP(K28,#REF!,22)*H28,IF(D28="NonRes Cooking",VLOOKUP(K28,#REF!,24)*H28,IF(D28="NonRes Space Cooling",VLOOKUP(K28,#REF!,26)*H28,IF(D28="NonRes Exterior Lighting",VLOOKUP(K28,#REF!,28)*H28,IF(D28="NonRes Space Heating",VLOOKUP(K28,#REF!,30)*H28,IF(D28="NonRes Water Heating",VLOOKUP(K28,#REF!,32)*H28,IF(D28="NonRes Interior Lighting",VLOOKUP(K28,#REF!,34)*H28,IF(D28="NonRes Misc",VLOOKUP(K28,#REF!,36)*H28,IF(D28="NonRes Motors",VLOOKUP(K28,#REF!,38)*H28,IF(D28="NonRes Office Equipment",VLOOKUP(K28,#REF!,40)*H28,IF(D28="NonRes Process",VLOOKUP(K28,#REF!,42)*H28,IF(D28="NonRes Refrigeration",VLOOKUP(K28,#REF!,44)*H28,IF(D28="NonRes Ventilation",VLOOKUP(K28,#REF!,46)*H28,0))))))))))))))))))))))</f>
        <v>0</v>
      </c>
      <c r="U28" s="18">
        <f>IF(E28="Annual",VLOOKUP(K28,#REF!,4)*'3.6 - Open'!J28,IF(E28="Winter",VLOOKUP('3.6 - Open'!K28,#REF!,5)*'3.6 - Open'!J28,IF(E28="NA",0,0)))</f>
        <v>0</v>
      </c>
      <c r="V28" s="19">
        <f t="shared" si="0"/>
        <v>0</v>
      </c>
      <c r="W28" s="19">
        <f t="shared" si="1"/>
        <v>0</v>
      </c>
      <c r="X28" s="19">
        <f t="shared" si="2"/>
        <v>0</v>
      </c>
      <c r="Y28" s="19">
        <f t="shared" si="3"/>
        <v>0</v>
      </c>
      <c r="Z28" s="20" t="e">
        <f>(T28+U28+(PV(#REF!,'3.6 - Open'!K28,'3.6 - Open'!P28)*-1)+'3.6 - Open'!O28)/'3.6 - Open'!F28</f>
        <v>#REF!</v>
      </c>
      <c r="AA28" s="20" t="e">
        <f t="shared" si="4"/>
        <v>#DIV/0!</v>
      </c>
      <c r="AB28" s="21">
        <f t="shared" si="5"/>
        <v>0</v>
      </c>
      <c r="AC28" s="20">
        <f t="shared" si="6"/>
        <v>0</v>
      </c>
      <c r="AD28" s="20">
        <f t="shared" si="7"/>
        <v>0</v>
      </c>
      <c r="AE28" s="20">
        <f t="shared" si="8"/>
        <v>0</v>
      </c>
      <c r="AF28" s="19">
        <f t="shared" si="9"/>
        <v>0</v>
      </c>
      <c r="AG28" s="19">
        <f t="shared" si="10"/>
        <v>0</v>
      </c>
      <c r="AH28" s="19">
        <f t="shared" si="11"/>
        <v>0</v>
      </c>
      <c r="AI28" s="19">
        <f t="shared" si="12"/>
        <v>0</v>
      </c>
      <c r="AJ28" s="15">
        <v>0</v>
      </c>
      <c r="AK28" s="19">
        <f t="shared" si="15"/>
        <v>0</v>
      </c>
      <c r="AL28" s="19">
        <f t="shared" si="16"/>
        <v>0</v>
      </c>
      <c r="AM28" s="19">
        <f t="shared" si="13"/>
        <v>0</v>
      </c>
      <c r="AN28" s="19" t="e">
        <f t="shared" si="14"/>
        <v>#DIV/0!</v>
      </c>
      <c r="AO28" s="19" t="e">
        <f t="shared" si="17"/>
        <v>#DIV/0!</v>
      </c>
      <c r="AP28" s="18" t="e">
        <f>-PV(#REF!,'3.6 - Open'!K28,'3.6 - Open'!P28)*'3.6 - Open'!B28</f>
        <v>#REF!</v>
      </c>
      <c r="AQ28" s="19" t="e">
        <f t="shared" si="18"/>
        <v>#REF!</v>
      </c>
      <c r="AR28" s="19" t="e">
        <f t="shared" si="19"/>
        <v>#REF!</v>
      </c>
      <c r="AS28" s="18" t="e">
        <f>B28*H28*K28*#REF!</f>
        <v>#REF!</v>
      </c>
      <c r="AT28" s="19" t="e">
        <f>B28*J28*K28*#REF!</f>
        <v>#REF!</v>
      </c>
      <c r="AU28" s="6"/>
      <c r="AV28" s="6"/>
      <c r="AW28" s="6"/>
      <c r="AX28" s="6"/>
      <c r="AY28" s="6"/>
    </row>
    <row r="29" spans="1:63" x14ac:dyDescent="0.25">
      <c r="A29" s="110"/>
      <c r="B29" s="110"/>
      <c r="C29" s="125"/>
      <c r="D29" s="110"/>
      <c r="E29" s="110" t="s">
        <v>24</v>
      </c>
      <c r="F29" s="125"/>
      <c r="G29" s="125"/>
      <c r="H29" s="110"/>
      <c r="I29" s="125"/>
      <c r="J29" s="110"/>
      <c r="K29" s="110"/>
      <c r="L29" s="125"/>
      <c r="M29" s="125"/>
      <c r="N29" s="125"/>
      <c r="O29" s="125"/>
      <c r="P29" s="125"/>
      <c r="Q29" s="125"/>
      <c r="R29" s="125"/>
      <c r="S29" s="125"/>
      <c r="T29" s="18">
        <f>IF(D29="Res Space Heat",VLOOKUP(K29,#REF!,4)*H29,IF(D29="Res AC",VLOOKUP(K29,#REF!,6)*H29,IF(D29="Res Lighting",VLOOKUP(K29,#REF!,8)*H29,IF(D29="Res Refrigeration",VLOOKUP(K29,#REF!,10)*H29,IF(D29="Res Water Heating",VLOOKUP(K29,#REF!,12)*H29,IF(D29="Res Dishwasher",VLOOKUP(K29,#REF!,14)*H29,IF(D29="Res Washer Dryer",VLOOKUP(K29,#REF!,16)*H29,IF(D29="Res Misc",VLOOKUP(K29,#REF!,18)*H29,IF(D29="Res Furnace Fan",VLOOKUP(K29,#REF!,20)*H29,IF(D29="NonRes Compressed Air",VLOOKUP(K29,#REF!,22)*H29,IF(D29="NonRes Cooking",VLOOKUP(K29,#REF!,24)*H29,IF(D29="NonRes Space Cooling",VLOOKUP(K29,#REF!,26)*H29,IF(D29="NonRes Exterior Lighting",VLOOKUP(K29,#REF!,28)*H29,IF(D29="NonRes Space Heating",VLOOKUP(K29,#REF!,30)*H29,IF(D29="NonRes Water Heating",VLOOKUP(K29,#REF!,32)*H29,IF(D29="NonRes Interior Lighting",VLOOKUP(K29,#REF!,34)*H29,IF(D29="NonRes Misc",VLOOKUP(K29,#REF!,36)*H29,IF(D29="NonRes Motors",VLOOKUP(K29,#REF!,38)*H29,IF(D29="NonRes Office Equipment",VLOOKUP(K29,#REF!,40)*H29,IF(D29="NonRes Process",VLOOKUP(K29,#REF!,42)*H29,IF(D29="NonRes Refrigeration",VLOOKUP(K29,#REF!,44)*H29,IF(D29="NonRes Ventilation",VLOOKUP(K29,#REF!,46)*H29,0))))))))))))))))))))))</f>
        <v>0</v>
      </c>
      <c r="U29" s="18">
        <f>IF(E29="Annual",VLOOKUP(K29,#REF!,4)*'3.6 - Open'!J29,IF(E29="Winter",VLOOKUP('3.6 - Open'!K29,#REF!,5)*'3.6 - Open'!J29,IF(E29="NA",0,0)))</f>
        <v>0</v>
      </c>
      <c r="V29" s="19">
        <f t="shared" si="0"/>
        <v>0</v>
      </c>
      <c r="W29" s="19">
        <f t="shared" si="1"/>
        <v>0</v>
      </c>
      <c r="X29" s="19">
        <f t="shared" si="2"/>
        <v>0</v>
      </c>
      <c r="Y29" s="19">
        <f t="shared" si="3"/>
        <v>0</v>
      </c>
      <c r="Z29" s="20" t="e">
        <f>(T29+U29+(PV(#REF!,'3.6 - Open'!K29,'3.6 - Open'!P29)*-1)+'3.6 - Open'!O29)/'3.6 - Open'!F29</f>
        <v>#REF!</v>
      </c>
      <c r="AA29" s="20" t="e">
        <f t="shared" si="4"/>
        <v>#DIV/0!</v>
      </c>
      <c r="AB29" s="21">
        <f t="shared" si="5"/>
        <v>0</v>
      </c>
      <c r="AC29" s="20">
        <f t="shared" si="6"/>
        <v>0</v>
      </c>
      <c r="AD29" s="20">
        <f t="shared" si="7"/>
        <v>0</v>
      </c>
      <c r="AE29" s="20">
        <f t="shared" si="8"/>
        <v>0</v>
      </c>
      <c r="AF29" s="19">
        <f t="shared" si="9"/>
        <v>0</v>
      </c>
      <c r="AG29" s="19">
        <f t="shared" si="10"/>
        <v>0</v>
      </c>
      <c r="AH29" s="19">
        <f t="shared" si="11"/>
        <v>0</v>
      </c>
      <c r="AI29" s="19">
        <f t="shared" si="12"/>
        <v>0</v>
      </c>
      <c r="AJ29" s="15">
        <v>0</v>
      </c>
      <c r="AK29" s="19">
        <f t="shared" si="15"/>
        <v>0</v>
      </c>
      <c r="AL29" s="19">
        <f t="shared" si="16"/>
        <v>0</v>
      </c>
      <c r="AM29" s="19">
        <f t="shared" si="13"/>
        <v>0</v>
      </c>
      <c r="AN29" s="19" t="e">
        <f t="shared" si="14"/>
        <v>#DIV/0!</v>
      </c>
      <c r="AO29" s="19" t="e">
        <f t="shared" si="17"/>
        <v>#DIV/0!</v>
      </c>
      <c r="AP29" s="18" t="e">
        <f>-PV(#REF!,'3.6 - Open'!K29,'3.6 - Open'!P29)*'3.6 - Open'!B29</f>
        <v>#REF!</v>
      </c>
      <c r="AQ29" s="19" t="e">
        <f t="shared" si="18"/>
        <v>#REF!</v>
      </c>
      <c r="AR29" s="19" t="e">
        <f t="shared" si="19"/>
        <v>#REF!</v>
      </c>
      <c r="AS29" s="18" t="e">
        <f>B29*H29*K29*#REF!</f>
        <v>#REF!</v>
      </c>
      <c r="AT29" s="19" t="e">
        <f>B29*J29*K29*#REF!</f>
        <v>#REF!</v>
      </c>
      <c r="AU29" s="6"/>
      <c r="AV29" s="6"/>
      <c r="AW29" s="6"/>
      <c r="AX29" s="6"/>
      <c r="AY29" s="6"/>
    </row>
    <row r="30" spans="1:63" x14ac:dyDescent="0.25">
      <c r="A30" s="110"/>
      <c r="B30" s="110"/>
      <c r="C30" s="125"/>
      <c r="D30" s="110"/>
      <c r="E30" s="110" t="s">
        <v>24</v>
      </c>
      <c r="F30" s="125"/>
      <c r="G30" s="125"/>
      <c r="H30" s="110"/>
      <c r="I30" s="125"/>
      <c r="J30" s="110"/>
      <c r="K30" s="110"/>
      <c r="L30" s="125"/>
      <c r="M30" s="125"/>
      <c r="N30" s="125"/>
      <c r="O30" s="125"/>
      <c r="P30" s="125"/>
      <c r="Q30" s="125"/>
      <c r="R30" s="125"/>
      <c r="S30" s="125"/>
      <c r="T30" s="18">
        <f>IF(D30="Res Space Heat",VLOOKUP(K30,#REF!,4)*H30,IF(D30="Res AC",VLOOKUP(K30,#REF!,6)*H30,IF(D30="Res Lighting",VLOOKUP(K30,#REF!,8)*H30,IF(D30="Res Refrigeration",VLOOKUP(K30,#REF!,10)*H30,IF(D30="Res Water Heating",VLOOKUP(K30,#REF!,12)*H30,IF(D30="Res Dishwasher",VLOOKUP(K30,#REF!,14)*H30,IF(D30="Res Washer Dryer",VLOOKUP(K30,#REF!,16)*H30,IF(D30="Res Misc",VLOOKUP(K30,#REF!,18)*H30,IF(D30="Res Furnace Fan",VLOOKUP(K30,#REF!,20)*H30,IF(D30="NonRes Compressed Air",VLOOKUP(K30,#REF!,22)*H30,IF(D30="NonRes Cooking",VLOOKUP(K30,#REF!,24)*H30,IF(D30="NonRes Space Cooling",VLOOKUP(K30,#REF!,26)*H30,IF(D30="NonRes Exterior Lighting",VLOOKUP(K30,#REF!,28)*H30,IF(D30="NonRes Space Heating",VLOOKUP(K30,#REF!,30)*H30,IF(D30="NonRes Water Heating",VLOOKUP(K30,#REF!,32)*H30,IF(D30="NonRes Interior Lighting",VLOOKUP(K30,#REF!,34)*H30,IF(D30="NonRes Misc",VLOOKUP(K30,#REF!,36)*H30,IF(D30="NonRes Motors",VLOOKUP(K30,#REF!,38)*H30,IF(D30="NonRes Office Equipment",VLOOKUP(K30,#REF!,40)*H30,IF(D30="NonRes Process",VLOOKUP(K30,#REF!,42)*H30,IF(D30="NonRes Refrigeration",VLOOKUP(K30,#REF!,44)*H30,IF(D30="NonRes Ventilation",VLOOKUP(K30,#REF!,46)*H30,0))))))))))))))))))))))</f>
        <v>0</v>
      </c>
      <c r="U30" s="18">
        <f>IF(E30="Annual",VLOOKUP(K30,#REF!,4)*'3.6 - Open'!J30,IF(E30="Winter",VLOOKUP('3.6 - Open'!K30,#REF!,5)*'3.6 - Open'!J30,IF(E30="NA",0,0)))</f>
        <v>0</v>
      </c>
      <c r="V30" s="19">
        <f t="shared" si="0"/>
        <v>0</v>
      </c>
      <c r="W30" s="19">
        <f t="shared" si="1"/>
        <v>0</v>
      </c>
      <c r="X30" s="19">
        <f t="shared" si="2"/>
        <v>0</v>
      </c>
      <c r="Y30" s="19">
        <f t="shared" si="3"/>
        <v>0</v>
      </c>
      <c r="Z30" s="20" t="e">
        <f>(T30+U30+(PV(#REF!,'3.6 - Open'!K30,'3.6 - Open'!P30)*-1)+'3.6 - Open'!O30)/'3.6 - Open'!F30</f>
        <v>#REF!</v>
      </c>
      <c r="AA30" s="20" t="e">
        <f t="shared" si="4"/>
        <v>#DIV/0!</v>
      </c>
      <c r="AB30" s="21">
        <f t="shared" si="5"/>
        <v>0</v>
      </c>
      <c r="AC30" s="20">
        <f t="shared" si="6"/>
        <v>0</v>
      </c>
      <c r="AD30" s="20">
        <f t="shared" si="7"/>
        <v>0</v>
      </c>
      <c r="AE30" s="20">
        <f t="shared" si="8"/>
        <v>0</v>
      </c>
      <c r="AF30" s="19">
        <f t="shared" si="9"/>
        <v>0</v>
      </c>
      <c r="AG30" s="19">
        <f t="shared" si="10"/>
        <v>0</v>
      </c>
      <c r="AH30" s="19">
        <f t="shared" si="11"/>
        <v>0</v>
      </c>
      <c r="AI30" s="19">
        <f t="shared" si="12"/>
        <v>0</v>
      </c>
      <c r="AJ30" s="15">
        <v>0</v>
      </c>
      <c r="AK30" s="19">
        <f t="shared" si="15"/>
        <v>0</v>
      </c>
      <c r="AL30" s="19">
        <f t="shared" si="16"/>
        <v>0</v>
      </c>
      <c r="AM30" s="19">
        <f t="shared" si="13"/>
        <v>0</v>
      </c>
      <c r="AN30" s="19" t="e">
        <f t="shared" si="14"/>
        <v>#DIV/0!</v>
      </c>
      <c r="AO30" s="19" t="e">
        <f t="shared" si="17"/>
        <v>#DIV/0!</v>
      </c>
      <c r="AP30" s="18" t="e">
        <f>-PV(#REF!,'3.6 - Open'!K30,'3.6 - Open'!P30)*'3.6 - Open'!B30</f>
        <v>#REF!</v>
      </c>
      <c r="AQ30" s="19" t="e">
        <f t="shared" si="18"/>
        <v>#REF!</v>
      </c>
      <c r="AR30" s="19" t="e">
        <f t="shared" si="19"/>
        <v>#REF!</v>
      </c>
      <c r="AS30" s="18" t="e">
        <f>B30*H30*K30*#REF!</f>
        <v>#REF!</v>
      </c>
      <c r="AT30" s="19" t="e">
        <f>B30*J30*K30*#REF!</f>
        <v>#REF!</v>
      </c>
      <c r="AU30" s="6"/>
      <c r="AV30" s="6"/>
      <c r="AW30" s="6"/>
      <c r="AX30" s="6"/>
      <c r="AY30" s="6"/>
    </row>
    <row r="31" spans="1:63" x14ac:dyDescent="0.25">
      <c r="A31" s="110"/>
      <c r="B31" s="110"/>
      <c r="C31" s="125"/>
      <c r="D31" s="110"/>
      <c r="E31" s="110" t="s">
        <v>24</v>
      </c>
      <c r="F31" s="125"/>
      <c r="G31" s="125"/>
      <c r="H31" s="110"/>
      <c r="I31" s="125"/>
      <c r="J31" s="110"/>
      <c r="K31" s="110"/>
      <c r="L31" s="125"/>
      <c r="M31" s="125"/>
      <c r="N31" s="125"/>
      <c r="O31" s="125"/>
      <c r="P31" s="125"/>
      <c r="Q31" s="125"/>
      <c r="R31" s="125"/>
      <c r="S31" s="125"/>
      <c r="T31" s="18">
        <f>IF(D31="Res Space Heat",VLOOKUP(K31,#REF!,4)*H31,IF(D31="Res AC",VLOOKUP(K31,#REF!,6)*H31,IF(D31="Res Lighting",VLOOKUP(K31,#REF!,8)*H31,IF(D31="Res Refrigeration",VLOOKUP(K31,#REF!,10)*H31,IF(D31="Res Water Heating",VLOOKUP(K31,#REF!,12)*H31,IF(D31="Res Dishwasher",VLOOKUP(K31,#REF!,14)*H31,IF(D31="Res Washer Dryer",VLOOKUP(K31,#REF!,16)*H31,IF(D31="Res Misc",VLOOKUP(K31,#REF!,18)*H31,IF(D31="Res Furnace Fan",VLOOKUP(K31,#REF!,20)*H31,IF(D31="NonRes Compressed Air",VLOOKUP(K31,#REF!,22)*H31,IF(D31="NonRes Cooking",VLOOKUP(K31,#REF!,24)*H31,IF(D31="NonRes Space Cooling",VLOOKUP(K31,#REF!,26)*H31,IF(D31="NonRes Exterior Lighting",VLOOKUP(K31,#REF!,28)*H31,IF(D31="NonRes Space Heating",VLOOKUP(K31,#REF!,30)*H31,IF(D31="NonRes Water Heating",VLOOKUP(K31,#REF!,32)*H31,IF(D31="NonRes Interior Lighting",VLOOKUP(K31,#REF!,34)*H31,IF(D31="NonRes Misc",VLOOKUP(K31,#REF!,36)*H31,IF(D31="NonRes Motors",VLOOKUP(K31,#REF!,38)*H31,IF(D31="NonRes Office Equipment",VLOOKUP(K31,#REF!,40)*H31,IF(D31="NonRes Process",VLOOKUP(K31,#REF!,42)*H31,IF(D31="NonRes Refrigeration",VLOOKUP(K31,#REF!,44)*H31,IF(D31="NonRes Ventilation",VLOOKUP(K31,#REF!,46)*H31,0))))))))))))))))))))))</f>
        <v>0</v>
      </c>
      <c r="U31" s="18">
        <f>IF(E31="Annual",VLOOKUP(K31,#REF!,4)*'3.6 - Open'!J31,IF(E31="Winter",VLOOKUP('3.6 - Open'!K31,#REF!,5)*'3.6 - Open'!J31,IF(E31="NA",0,0)))</f>
        <v>0</v>
      </c>
      <c r="V31" s="19">
        <f t="shared" si="0"/>
        <v>0</v>
      </c>
      <c r="W31" s="19">
        <f t="shared" si="1"/>
        <v>0</v>
      </c>
      <c r="X31" s="19">
        <f t="shared" si="2"/>
        <v>0</v>
      </c>
      <c r="Y31" s="19">
        <f t="shared" si="3"/>
        <v>0</v>
      </c>
      <c r="Z31" s="20" t="e">
        <f>(T31+U31+(PV(#REF!,'3.6 - Open'!K31,'3.6 - Open'!P31)*-1)+'3.6 - Open'!O31)/'3.6 - Open'!F31</f>
        <v>#REF!</v>
      </c>
      <c r="AA31" s="20" t="e">
        <f t="shared" si="4"/>
        <v>#DIV/0!</v>
      </c>
      <c r="AB31" s="21">
        <f t="shared" si="5"/>
        <v>0</v>
      </c>
      <c r="AC31" s="20">
        <f t="shared" si="6"/>
        <v>0</v>
      </c>
      <c r="AD31" s="20">
        <f t="shared" si="7"/>
        <v>0</v>
      </c>
      <c r="AE31" s="20">
        <f t="shared" si="8"/>
        <v>0</v>
      </c>
      <c r="AF31" s="19">
        <f t="shared" si="9"/>
        <v>0</v>
      </c>
      <c r="AG31" s="19">
        <f t="shared" si="10"/>
        <v>0</v>
      </c>
      <c r="AH31" s="19">
        <f t="shared" si="11"/>
        <v>0</v>
      </c>
      <c r="AI31" s="19">
        <f t="shared" si="12"/>
        <v>0</v>
      </c>
      <c r="AJ31" s="15">
        <v>0</v>
      </c>
      <c r="AK31" s="19">
        <f t="shared" si="15"/>
        <v>0</v>
      </c>
      <c r="AL31" s="19">
        <f t="shared" si="16"/>
        <v>0</v>
      </c>
      <c r="AM31" s="19">
        <f t="shared" si="13"/>
        <v>0</v>
      </c>
      <c r="AN31" s="19" t="e">
        <f t="shared" si="14"/>
        <v>#DIV/0!</v>
      </c>
      <c r="AO31" s="19" t="e">
        <f t="shared" si="17"/>
        <v>#DIV/0!</v>
      </c>
      <c r="AP31" s="18" t="e">
        <f>-PV(#REF!,'3.6 - Open'!K31,'3.6 - Open'!P31)*'3.6 - Open'!B31</f>
        <v>#REF!</v>
      </c>
      <c r="AQ31" s="19" t="e">
        <f t="shared" si="18"/>
        <v>#REF!</v>
      </c>
      <c r="AR31" s="19" t="e">
        <f t="shared" si="19"/>
        <v>#REF!</v>
      </c>
      <c r="AS31" s="18" t="e">
        <f>B31*H31*K31*#REF!</f>
        <v>#REF!</v>
      </c>
      <c r="AT31" s="19" t="e">
        <f>B31*J31*K31*#REF!</f>
        <v>#REF!</v>
      </c>
      <c r="AU31" s="6"/>
      <c r="AV31" s="6"/>
      <c r="AW31" s="6"/>
      <c r="AX31" s="6"/>
      <c r="AY31" s="6"/>
    </row>
    <row r="32" spans="1:63" x14ac:dyDescent="0.25">
      <c r="A32" s="110"/>
      <c r="B32" s="110"/>
      <c r="C32" s="125"/>
      <c r="D32" s="110"/>
      <c r="E32" s="110" t="s">
        <v>24</v>
      </c>
      <c r="F32" s="125"/>
      <c r="G32" s="125"/>
      <c r="H32" s="110"/>
      <c r="I32" s="125"/>
      <c r="J32" s="110"/>
      <c r="K32" s="110"/>
      <c r="L32" s="125"/>
      <c r="M32" s="125"/>
      <c r="N32" s="125"/>
      <c r="O32" s="125"/>
      <c r="P32" s="125"/>
      <c r="Q32" s="125"/>
      <c r="R32" s="125"/>
      <c r="S32" s="125"/>
      <c r="T32" s="18">
        <f>IF(D32="Res Space Heat",VLOOKUP(K32,#REF!,4)*H32,IF(D32="Res AC",VLOOKUP(K32,#REF!,6)*H32,IF(D32="Res Lighting",VLOOKUP(K32,#REF!,8)*H32,IF(D32="Res Refrigeration",VLOOKUP(K32,#REF!,10)*H32,IF(D32="Res Water Heating",VLOOKUP(K32,#REF!,12)*H32,IF(D32="Res Dishwasher",VLOOKUP(K32,#REF!,14)*H32,IF(D32="Res Washer Dryer",VLOOKUP(K32,#REF!,16)*H32,IF(D32="Res Misc",VLOOKUP(K32,#REF!,18)*H32,IF(D32="Res Furnace Fan",VLOOKUP(K32,#REF!,20)*H32,IF(D32="NonRes Compressed Air",VLOOKUP(K32,#REF!,22)*H32,IF(D32="NonRes Cooking",VLOOKUP(K32,#REF!,24)*H32,IF(D32="NonRes Space Cooling",VLOOKUP(K32,#REF!,26)*H32,IF(D32="NonRes Exterior Lighting",VLOOKUP(K32,#REF!,28)*H32,IF(D32="NonRes Space Heating",VLOOKUP(K32,#REF!,30)*H32,IF(D32="NonRes Water Heating",VLOOKUP(K32,#REF!,32)*H32,IF(D32="NonRes Interior Lighting",VLOOKUP(K32,#REF!,34)*H32,IF(D32="NonRes Misc",VLOOKUP(K32,#REF!,36)*H32,IF(D32="NonRes Motors",VLOOKUP(K32,#REF!,38)*H32,IF(D32="NonRes Office Equipment",VLOOKUP(K32,#REF!,40)*H32,IF(D32="NonRes Process",VLOOKUP(K32,#REF!,42)*H32,IF(D32="NonRes Refrigeration",VLOOKUP(K32,#REF!,44)*H32,IF(D32="NonRes Ventilation",VLOOKUP(K32,#REF!,46)*H32,0))))))))))))))))))))))</f>
        <v>0</v>
      </c>
      <c r="U32" s="18">
        <f>IF(E32="Annual",VLOOKUP(K32,#REF!,4)*'3.6 - Open'!J32,IF(E32="Winter",VLOOKUP('3.6 - Open'!K32,#REF!,5)*'3.6 - Open'!J32,IF(E32="NA",0,0)))</f>
        <v>0</v>
      </c>
      <c r="V32" s="19">
        <f t="shared" si="0"/>
        <v>0</v>
      </c>
      <c r="W32" s="19">
        <f t="shared" si="1"/>
        <v>0</v>
      </c>
      <c r="X32" s="19">
        <f t="shared" si="2"/>
        <v>0</v>
      </c>
      <c r="Y32" s="19">
        <f t="shared" si="3"/>
        <v>0</v>
      </c>
      <c r="Z32" s="20" t="e">
        <f>(T32+U32+(PV(#REF!,'3.6 - Open'!K32,'3.6 - Open'!P32)*-1)+'3.6 - Open'!O32)/'3.6 - Open'!F32</f>
        <v>#REF!</v>
      </c>
      <c r="AA32" s="20" t="e">
        <f t="shared" si="4"/>
        <v>#DIV/0!</v>
      </c>
      <c r="AB32" s="21">
        <f t="shared" si="5"/>
        <v>0</v>
      </c>
      <c r="AC32" s="20">
        <f t="shared" si="6"/>
        <v>0</v>
      </c>
      <c r="AD32" s="20">
        <f t="shared" si="7"/>
        <v>0</v>
      </c>
      <c r="AE32" s="20">
        <f t="shared" si="8"/>
        <v>0</v>
      </c>
      <c r="AF32" s="19">
        <f t="shared" si="9"/>
        <v>0</v>
      </c>
      <c r="AG32" s="19">
        <f t="shared" si="10"/>
        <v>0</v>
      </c>
      <c r="AH32" s="19">
        <f t="shared" si="11"/>
        <v>0</v>
      </c>
      <c r="AI32" s="19">
        <f t="shared" si="12"/>
        <v>0</v>
      </c>
      <c r="AJ32" s="15">
        <v>0</v>
      </c>
      <c r="AK32" s="19">
        <f t="shared" si="15"/>
        <v>0</v>
      </c>
      <c r="AL32" s="19">
        <f t="shared" si="16"/>
        <v>0</v>
      </c>
      <c r="AM32" s="19">
        <f t="shared" si="13"/>
        <v>0</v>
      </c>
      <c r="AN32" s="19" t="e">
        <f t="shared" si="14"/>
        <v>#DIV/0!</v>
      </c>
      <c r="AO32" s="19" t="e">
        <f t="shared" si="17"/>
        <v>#DIV/0!</v>
      </c>
      <c r="AP32" s="18" t="e">
        <f>-PV(#REF!,'3.6 - Open'!K32,'3.6 - Open'!P32)*'3.6 - Open'!B32</f>
        <v>#REF!</v>
      </c>
      <c r="AQ32" s="19" t="e">
        <f t="shared" si="18"/>
        <v>#REF!</v>
      </c>
      <c r="AR32" s="19" t="e">
        <f t="shared" si="19"/>
        <v>#REF!</v>
      </c>
      <c r="AS32" s="18" t="e">
        <f>B32*H32*K32*#REF!</f>
        <v>#REF!</v>
      </c>
      <c r="AT32" s="19" t="e">
        <f>B32*J32*K32*#REF!</f>
        <v>#REF!</v>
      </c>
      <c r="AU32" s="6"/>
      <c r="AV32" s="6"/>
      <c r="AW32" s="6"/>
      <c r="AX32" s="6"/>
      <c r="AY32" s="6"/>
    </row>
    <row r="33" spans="1:51" x14ac:dyDescent="0.25">
      <c r="A33" s="110"/>
      <c r="B33" s="110"/>
      <c r="C33" s="125"/>
      <c r="D33" s="110"/>
      <c r="E33" s="110" t="s">
        <v>24</v>
      </c>
      <c r="F33" s="125"/>
      <c r="G33" s="125"/>
      <c r="H33" s="110"/>
      <c r="I33" s="125"/>
      <c r="J33" s="110"/>
      <c r="K33" s="110"/>
      <c r="L33" s="125"/>
      <c r="M33" s="125"/>
      <c r="N33" s="125"/>
      <c r="O33" s="125"/>
      <c r="P33" s="125"/>
      <c r="Q33" s="125"/>
      <c r="R33" s="125"/>
      <c r="S33" s="125"/>
      <c r="T33" s="18">
        <f>IF(D33="Res Space Heat",VLOOKUP(K33,#REF!,4)*H33,IF(D33="Res AC",VLOOKUP(K33,#REF!,6)*H33,IF(D33="Res Lighting",VLOOKUP(K33,#REF!,8)*H33,IF(D33="Res Refrigeration",VLOOKUP(K33,#REF!,10)*H33,IF(D33="Res Water Heating",VLOOKUP(K33,#REF!,12)*H33,IF(D33="Res Dishwasher",VLOOKUP(K33,#REF!,14)*H33,IF(D33="Res Washer Dryer",VLOOKUP(K33,#REF!,16)*H33,IF(D33="Res Misc",VLOOKUP(K33,#REF!,18)*H33,IF(D33="Res Furnace Fan",VLOOKUP(K33,#REF!,20)*H33,IF(D33="NonRes Compressed Air",VLOOKUP(K33,#REF!,22)*H33,IF(D33="NonRes Cooking",VLOOKUP(K33,#REF!,24)*H33,IF(D33="NonRes Space Cooling",VLOOKUP(K33,#REF!,26)*H33,IF(D33="NonRes Exterior Lighting",VLOOKUP(K33,#REF!,28)*H33,IF(D33="NonRes Space Heating",VLOOKUP(K33,#REF!,30)*H33,IF(D33="NonRes Water Heating",VLOOKUP(K33,#REF!,32)*H33,IF(D33="NonRes Interior Lighting",VLOOKUP(K33,#REF!,34)*H33,IF(D33="NonRes Misc",VLOOKUP(K33,#REF!,36)*H33,IF(D33="NonRes Motors",VLOOKUP(K33,#REF!,38)*H33,IF(D33="NonRes Office Equipment",VLOOKUP(K33,#REF!,40)*H33,IF(D33="NonRes Process",VLOOKUP(K33,#REF!,42)*H33,IF(D33="NonRes Refrigeration",VLOOKUP(K33,#REF!,44)*H33,IF(D33="NonRes Ventilation",VLOOKUP(K33,#REF!,46)*H33,0))))))))))))))))))))))</f>
        <v>0</v>
      </c>
      <c r="U33" s="18">
        <f>IF(E33="Annual",VLOOKUP(K33,#REF!,4)*'3.6 - Open'!J33,IF(E33="Winter",VLOOKUP('3.6 - Open'!K33,#REF!,5)*'3.6 - Open'!J33,IF(E33="NA",0,0)))</f>
        <v>0</v>
      </c>
      <c r="V33" s="19">
        <f t="shared" si="0"/>
        <v>0</v>
      </c>
      <c r="W33" s="19">
        <f t="shared" si="1"/>
        <v>0</v>
      </c>
      <c r="X33" s="19">
        <f t="shared" si="2"/>
        <v>0</v>
      </c>
      <c r="Y33" s="19">
        <f t="shared" si="3"/>
        <v>0</v>
      </c>
      <c r="Z33" s="20" t="e">
        <f>(T33+U33+(PV(#REF!,'3.6 - Open'!K33,'3.6 - Open'!P33)*-1)+'3.6 - Open'!O33)/'3.6 - Open'!F33</f>
        <v>#REF!</v>
      </c>
      <c r="AA33" s="20" t="e">
        <f t="shared" si="4"/>
        <v>#DIV/0!</v>
      </c>
      <c r="AB33" s="21">
        <f t="shared" si="5"/>
        <v>0</v>
      </c>
      <c r="AC33" s="20">
        <f t="shared" si="6"/>
        <v>0</v>
      </c>
      <c r="AD33" s="20">
        <f t="shared" si="7"/>
        <v>0</v>
      </c>
      <c r="AE33" s="20">
        <f t="shared" si="8"/>
        <v>0</v>
      </c>
      <c r="AF33" s="19">
        <f t="shared" si="9"/>
        <v>0</v>
      </c>
      <c r="AG33" s="19">
        <f t="shared" si="10"/>
        <v>0</v>
      </c>
      <c r="AH33" s="19">
        <f t="shared" si="11"/>
        <v>0</v>
      </c>
      <c r="AI33" s="19">
        <f t="shared" si="12"/>
        <v>0</v>
      </c>
      <c r="AJ33" s="15">
        <v>0</v>
      </c>
      <c r="AK33" s="19">
        <f t="shared" si="15"/>
        <v>0</v>
      </c>
      <c r="AL33" s="19">
        <f t="shared" si="16"/>
        <v>0</v>
      </c>
      <c r="AM33" s="19">
        <f t="shared" si="13"/>
        <v>0</v>
      </c>
      <c r="AN33" s="19" t="e">
        <f t="shared" si="14"/>
        <v>#DIV/0!</v>
      </c>
      <c r="AO33" s="19" t="e">
        <f t="shared" si="17"/>
        <v>#DIV/0!</v>
      </c>
      <c r="AP33" s="18" t="e">
        <f>-PV(#REF!,'3.6 - Open'!K33,'3.6 - Open'!P33)*'3.6 - Open'!B33</f>
        <v>#REF!</v>
      </c>
      <c r="AQ33" s="19" t="e">
        <f t="shared" si="18"/>
        <v>#REF!</v>
      </c>
      <c r="AR33" s="19" t="e">
        <f t="shared" si="19"/>
        <v>#REF!</v>
      </c>
      <c r="AS33" s="18" t="e">
        <f>B33*H33*K33*#REF!</f>
        <v>#REF!</v>
      </c>
      <c r="AT33" s="19" t="e">
        <f>B33*J33*K33*#REF!</f>
        <v>#REF!</v>
      </c>
      <c r="AU33" s="6"/>
      <c r="AV33" s="6"/>
      <c r="AW33" s="6"/>
      <c r="AX33" s="6"/>
      <c r="AY33" s="6"/>
    </row>
    <row r="34" spans="1:51" x14ac:dyDescent="0.25">
      <c r="A34" s="14"/>
      <c r="B34" s="14"/>
      <c r="C34" s="15"/>
      <c r="D34" s="14"/>
      <c r="E34" s="14" t="s">
        <v>24</v>
      </c>
      <c r="F34" s="15"/>
      <c r="G34" s="15"/>
      <c r="H34" s="14"/>
      <c r="I34" s="15"/>
      <c r="J34" s="14"/>
      <c r="K34" s="14"/>
      <c r="L34" s="15"/>
      <c r="M34" s="15"/>
      <c r="N34" s="15"/>
      <c r="O34" s="15"/>
      <c r="P34" s="15"/>
      <c r="Q34" s="15"/>
      <c r="R34" s="15"/>
      <c r="S34" s="15"/>
      <c r="T34" s="18">
        <f>IF(D34="Res Space Heat",VLOOKUP(K34,#REF!,4)*H34,IF(D34="Res AC",VLOOKUP(K34,#REF!,6)*H34,IF(D34="Res Lighting",VLOOKUP(K34,#REF!,8)*H34,IF(D34="Res Refrigeration",VLOOKUP(K34,#REF!,10)*H34,IF(D34="Res Water Heating",VLOOKUP(K34,#REF!,12)*H34,IF(D34="Res Dishwasher",VLOOKUP(K34,#REF!,14)*H34,IF(D34="Res Washer Dryer",VLOOKUP(K34,#REF!,16)*H34,IF(D34="Res Misc",VLOOKUP(K34,#REF!,18)*H34,IF(D34="Res Furnace Fan",VLOOKUP(K34,#REF!,20)*H34,IF(D34="NonRes Compressed Air",VLOOKUP(K34,#REF!,22)*H34,IF(D34="NonRes Cooking",VLOOKUP(K34,#REF!,24)*H34,IF(D34="NonRes Space Cooling",VLOOKUP(K34,#REF!,26)*H34,IF(D34="NonRes Exterior Lighting",VLOOKUP(K34,#REF!,28)*H34,IF(D34="NonRes Space Heating",VLOOKUP(K34,#REF!,30)*H34,IF(D34="NonRes Water Heating",VLOOKUP(K34,#REF!,32)*H34,IF(D34="NonRes Interior Lighting",VLOOKUP(K34,#REF!,34)*H34,IF(D34="NonRes Misc",VLOOKUP(K34,#REF!,36)*H34,IF(D34="NonRes Motors",VLOOKUP(K34,#REF!,38)*H34,IF(D34="NonRes Office Equipment",VLOOKUP(K34,#REF!,40)*H34,IF(D34="NonRes Process",VLOOKUP(K34,#REF!,42)*H34,IF(D34="NonRes Refrigeration",VLOOKUP(K34,#REF!,44)*H34,IF(D34="NonRes Ventilation",VLOOKUP(K34,#REF!,46)*H34,0))))))))))))))))))))))</f>
        <v>0</v>
      </c>
      <c r="U34" s="18">
        <f>IF(E34="Annual",VLOOKUP(K34,#REF!,4)*'3.6 - Open'!J34,IF(E34="Winter",VLOOKUP('3.6 - Open'!K34,#REF!,5)*'3.6 - Open'!J34,IF(E34="NA",0,0)))</f>
        <v>0</v>
      </c>
      <c r="V34" s="19">
        <f t="shared" si="0"/>
        <v>0</v>
      </c>
      <c r="W34" s="19">
        <f t="shared" si="1"/>
        <v>0</v>
      </c>
      <c r="X34" s="19">
        <f t="shared" si="2"/>
        <v>0</v>
      </c>
      <c r="Y34" s="19">
        <f t="shared" si="3"/>
        <v>0</v>
      </c>
      <c r="Z34" s="20" t="e">
        <f>(T34+U34+(PV(#REF!,'3.6 - Open'!K34,'3.6 - Open'!P34)*-1)+'3.6 - Open'!O34)/'3.6 - Open'!F34</f>
        <v>#REF!</v>
      </c>
      <c r="AA34" s="20" t="e">
        <f t="shared" si="4"/>
        <v>#DIV/0!</v>
      </c>
      <c r="AB34" s="21">
        <f t="shared" si="5"/>
        <v>0</v>
      </c>
      <c r="AC34" s="20">
        <f t="shared" si="6"/>
        <v>0</v>
      </c>
      <c r="AD34" s="20">
        <f t="shared" si="7"/>
        <v>0</v>
      </c>
      <c r="AE34" s="20">
        <f t="shared" si="8"/>
        <v>0</v>
      </c>
      <c r="AF34" s="19">
        <f t="shared" si="9"/>
        <v>0</v>
      </c>
      <c r="AG34" s="19">
        <f t="shared" si="10"/>
        <v>0</v>
      </c>
      <c r="AH34" s="19">
        <f t="shared" si="11"/>
        <v>0</v>
      </c>
      <c r="AI34" s="19">
        <f t="shared" si="12"/>
        <v>0</v>
      </c>
      <c r="AJ34" s="15">
        <v>0</v>
      </c>
      <c r="AK34" s="19">
        <f t="shared" si="15"/>
        <v>0</v>
      </c>
      <c r="AL34" s="19">
        <f t="shared" si="16"/>
        <v>0</v>
      </c>
      <c r="AM34" s="19">
        <f t="shared" si="13"/>
        <v>0</v>
      </c>
      <c r="AN34" s="19" t="e">
        <f t="shared" si="14"/>
        <v>#DIV/0!</v>
      </c>
      <c r="AO34" s="19" t="e">
        <f t="shared" si="17"/>
        <v>#DIV/0!</v>
      </c>
      <c r="AP34" s="18" t="e">
        <f>-PV(#REF!,'3.6 - Open'!K34,'3.6 - Open'!P34)*'3.6 - Open'!B34</f>
        <v>#REF!</v>
      </c>
      <c r="AQ34" s="19" t="e">
        <f t="shared" si="18"/>
        <v>#REF!</v>
      </c>
      <c r="AR34" s="19" t="e">
        <f t="shared" si="19"/>
        <v>#REF!</v>
      </c>
      <c r="AS34" s="18" t="e">
        <f>B34*H34*K34*#REF!</f>
        <v>#REF!</v>
      </c>
      <c r="AT34" s="19" t="e">
        <f>B34*J34*K34*#REF!</f>
        <v>#REF!</v>
      </c>
      <c r="AU34" s="6"/>
      <c r="AV34" s="6"/>
      <c r="AW34" s="6"/>
      <c r="AX34" s="6"/>
      <c r="AY34" s="6"/>
    </row>
    <row r="35" spans="1:51" x14ac:dyDescent="0.25">
      <c r="A35" s="14"/>
      <c r="B35" s="14"/>
      <c r="C35" s="15"/>
      <c r="D35" s="14"/>
      <c r="E35" s="14" t="s">
        <v>24</v>
      </c>
      <c r="F35" s="15"/>
      <c r="G35" s="15"/>
      <c r="H35" s="14"/>
      <c r="I35" s="15"/>
      <c r="J35" s="14"/>
      <c r="K35" s="14"/>
      <c r="L35" s="15"/>
      <c r="M35" s="15"/>
      <c r="N35" s="15"/>
      <c r="O35" s="15"/>
      <c r="P35" s="15"/>
      <c r="Q35" s="15"/>
      <c r="R35" s="15"/>
      <c r="S35" s="15"/>
      <c r="T35" s="18">
        <f>IF(D35="Res Space Heat",VLOOKUP(K35,#REF!,4)*H35,IF(D35="Res AC",VLOOKUP(K35,#REF!,6)*H35,IF(D35="Res Lighting",VLOOKUP(K35,#REF!,8)*H35,IF(D35="Res Refrigeration",VLOOKUP(K35,#REF!,10)*H35,IF(D35="Res Water Heating",VLOOKUP(K35,#REF!,12)*H35,IF(D35="Res Dishwasher",VLOOKUP(K35,#REF!,14)*H35,IF(D35="Res Washer Dryer",VLOOKUP(K35,#REF!,16)*H35,IF(D35="Res Misc",VLOOKUP(K35,#REF!,18)*H35,IF(D35="Res Furnace Fan",VLOOKUP(K35,#REF!,20)*H35,IF(D35="NonRes Compressed Air",VLOOKUP(K35,#REF!,22)*H35,IF(D35="NonRes Cooking",VLOOKUP(K35,#REF!,24)*H35,IF(D35="NonRes Space Cooling",VLOOKUP(K35,#REF!,26)*H35,IF(D35="NonRes Exterior Lighting",VLOOKUP(K35,#REF!,28)*H35,IF(D35="NonRes Space Heating",VLOOKUP(K35,#REF!,30)*H35,IF(D35="NonRes Water Heating",VLOOKUP(K35,#REF!,32)*H35,IF(D35="NonRes Interior Lighting",VLOOKUP(K35,#REF!,34)*H35,IF(D35="NonRes Misc",VLOOKUP(K35,#REF!,36)*H35,IF(D35="NonRes Motors",VLOOKUP(K35,#REF!,38)*H35,IF(D35="NonRes Office Equipment",VLOOKUP(K35,#REF!,40)*H35,IF(D35="NonRes Process",VLOOKUP(K35,#REF!,42)*H35,IF(D35="NonRes Refrigeration",VLOOKUP(K35,#REF!,44)*H35,IF(D35="NonRes Ventilation",VLOOKUP(K35,#REF!,46)*H35,0))))))))))))))))))))))</f>
        <v>0</v>
      </c>
      <c r="U35" s="18">
        <f>IF(E35="Annual",VLOOKUP(K35,#REF!,4)*'3.6 - Open'!J35,IF(E35="Winter",VLOOKUP('3.6 - Open'!K35,#REF!,5)*'3.6 - Open'!J35,IF(E35="NA",0,0)))</f>
        <v>0</v>
      </c>
      <c r="V35" s="19">
        <f t="shared" si="0"/>
        <v>0</v>
      </c>
      <c r="W35" s="19">
        <f t="shared" si="1"/>
        <v>0</v>
      </c>
      <c r="X35" s="19">
        <f t="shared" si="2"/>
        <v>0</v>
      </c>
      <c r="Y35" s="19">
        <f t="shared" si="3"/>
        <v>0</v>
      </c>
      <c r="Z35" s="20" t="e">
        <f>(T35+U35+(PV(#REF!,'3.6 - Open'!K35,'3.6 - Open'!P35)*-1)+'3.6 - Open'!O35)/'3.6 - Open'!F35</f>
        <v>#REF!</v>
      </c>
      <c r="AA35" s="20" t="e">
        <f t="shared" si="4"/>
        <v>#DIV/0!</v>
      </c>
      <c r="AB35" s="21">
        <f t="shared" si="5"/>
        <v>0</v>
      </c>
      <c r="AC35" s="20">
        <f t="shared" si="6"/>
        <v>0</v>
      </c>
      <c r="AD35" s="20">
        <f t="shared" si="7"/>
        <v>0</v>
      </c>
      <c r="AE35" s="20">
        <f t="shared" si="8"/>
        <v>0</v>
      </c>
      <c r="AF35" s="19">
        <f t="shared" si="9"/>
        <v>0</v>
      </c>
      <c r="AG35" s="19">
        <f t="shared" si="10"/>
        <v>0</v>
      </c>
      <c r="AH35" s="19">
        <f t="shared" si="11"/>
        <v>0</v>
      </c>
      <c r="AI35" s="19">
        <f t="shared" si="12"/>
        <v>0</v>
      </c>
      <c r="AJ35" s="15">
        <v>0</v>
      </c>
      <c r="AK35" s="19">
        <f t="shared" si="15"/>
        <v>0</v>
      </c>
      <c r="AL35" s="19">
        <f t="shared" si="16"/>
        <v>0</v>
      </c>
      <c r="AM35" s="19">
        <f t="shared" si="13"/>
        <v>0</v>
      </c>
      <c r="AN35" s="19" t="e">
        <f t="shared" si="14"/>
        <v>#DIV/0!</v>
      </c>
      <c r="AO35" s="19" t="e">
        <f t="shared" si="17"/>
        <v>#DIV/0!</v>
      </c>
      <c r="AP35" s="18" t="e">
        <f>-PV(#REF!,'3.6 - Open'!K35,'3.6 - Open'!P35)*'3.6 - Open'!B35</f>
        <v>#REF!</v>
      </c>
      <c r="AQ35" s="19" t="e">
        <f t="shared" si="18"/>
        <v>#REF!</v>
      </c>
      <c r="AR35" s="19" t="e">
        <f t="shared" si="19"/>
        <v>#REF!</v>
      </c>
      <c r="AS35" s="18" t="e">
        <f>B35*H35*K35*#REF!</f>
        <v>#REF!</v>
      </c>
      <c r="AT35" s="19" t="e">
        <f>B35*J35*K35*#REF!</f>
        <v>#REF!</v>
      </c>
      <c r="AU35" s="6"/>
      <c r="AV35" s="6"/>
      <c r="AW35" s="6"/>
      <c r="AX35" s="6"/>
      <c r="AY35" s="6"/>
    </row>
    <row r="36" spans="1:51" x14ac:dyDescent="0.25">
      <c r="A36" s="14"/>
      <c r="B36" s="14"/>
      <c r="C36" s="15"/>
      <c r="D36" s="14"/>
      <c r="E36" s="14" t="s">
        <v>24</v>
      </c>
      <c r="F36" s="15"/>
      <c r="G36" s="15"/>
      <c r="H36" s="14"/>
      <c r="I36" s="15"/>
      <c r="J36" s="14"/>
      <c r="K36" s="14"/>
      <c r="L36" s="15"/>
      <c r="M36" s="15"/>
      <c r="N36" s="15"/>
      <c r="O36" s="15"/>
      <c r="P36" s="15"/>
      <c r="Q36" s="15"/>
      <c r="R36" s="15"/>
      <c r="S36" s="15"/>
      <c r="T36" s="18">
        <f>IF(D36="Res Space Heat",VLOOKUP(K36,#REF!,4)*H36,IF(D36="Res AC",VLOOKUP(K36,#REF!,6)*H36,IF(D36="Res Lighting",VLOOKUP(K36,#REF!,8)*H36,IF(D36="Res Refrigeration",VLOOKUP(K36,#REF!,10)*H36,IF(D36="Res Water Heating",VLOOKUP(K36,#REF!,12)*H36,IF(D36="Res Dishwasher",VLOOKUP(K36,#REF!,14)*H36,IF(D36="Res Washer Dryer",VLOOKUP(K36,#REF!,16)*H36,IF(D36="Res Misc",VLOOKUP(K36,#REF!,18)*H36,IF(D36="Res Furnace Fan",VLOOKUP(K36,#REF!,20)*H36,IF(D36="NonRes Compressed Air",VLOOKUP(K36,#REF!,22)*H36,IF(D36="NonRes Cooking",VLOOKUP(K36,#REF!,24)*H36,IF(D36="NonRes Space Cooling",VLOOKUP(K36,#REF!,26)*H36,IF(D36="NonRes Exterior Lighting",VLOOKUP(K36,#REF!,28)*H36,IF(D36="NonRes Space Heating",VLOOKUP(K36,#REF!,30)*H36,IF(D36="NonRes Water Heating",VLOOKUP(K36,#REF!,32)*H36,IF(D36="NonRes Interior Lighting",VLOOKUP(K36,#REF!,34)*H36,IF(D36="NonRes Misc",VLOOKUP(K36,#REF!,36)*H36,IF(D36="NonRes Motors",VLOOKUP(K36,#REF!,38)*H36,IF(D36="NonRes Office Equipment",VLOOKUP(K36,#REF!,40)*H36,IF(D36="NonRes Process",VLOOKUP(K36,#REF!,42)*H36,IF(D36="NonRes Refrigeration",VLOOKUP(K36,#REF!,44)*H36,IF(D36="NonRes Ventilation",VLOOKUP(K36,#REF!,46)*H36,0))))))))))))))))))))))</f>
        <v>0</v>
      </c>
      <c r="U36" s="18">
        <f>IF(E36="Annual",VLOOKUP(K36,#REF!,4)*'3.6 - Open'!J36,IF(E36="Winter",VLOOKUP('3.6 - Open'!K36,#REF!,5)*'3.6 - Open'!J36,IF(E36="NA",0,0)))</f>
        <v>0</v>
      </c>
      <c r="V36" s="19">
        <f t="shared" ref="V36:V67" si="20">F36</f>
        <v>0</v>
      </c>
      <c r="W36" s="19">
        <f t="shared" ref="W36:W67" si="21">F36-V36</f>
        <v>0</v>
      </c>
      <c r="X36" s="19">
        <f t="shared" ref="X36:X67" si="22">M36</f>
        <v>0</v>
      </c>
      <c r="Y36" s="19">
        <f t="shared" ref="Y36:Y67" si="23">M36-X36</f>
        <v>0</v>
      </c>
      <c r="Z36" s="20" t="e">
        <f>(T36+U36+(PV(#REF!,'3.6 - Open'!K36,'3.6 - Open'!P36)*-1)+'3.6 - Open'!O36)/'3.6 - Open'!F36</f>
        <v>#REF!</v>
      </c>
      <c r="AA36" s="20" t="e">
        <f t="shared" ref="AA36:AA67" si="24">((T36+U36)/M36)</f>
        <v>#DIV/0!</v>
      </c>
      <c r="AB36" s="21">
        <f t="shared" ref="AB36:AB67" si="25">H36*B36</f>
        <v>0</v>
      </c>
      <c r="AC36" s="20">
        <f t="shared" ref="AC36:AC67" si="26">J36*B36</f>
        <v>0</v>
      </c>
      <c r="AD36" s="20">
        <f t="shared" ref="AD36:AD67" si="27">T36*B36</f>
        <v>0</v>
      </c>
      <c r="AE36" s="20">
        <f t="shared" ref="AE36:AE67" si="28">U36*B36</f>
        <v>0</v>
      </c>
      <c r="AF36" s="19">
        <f t="shared" ref="AF36:AF67" si="29">B36*V36</f>
        <v>0</v>
      </c>
      <c r="AG36" s="19">
        <f t="shared" ref="AG36:AG67" si="30">W36*B36</f>
        <v>0</v>
      </c>
      <c r="AH36" s="19">
        <f t="shared" ref="AH36:AH67" si="31">B36*X36</f>
        <v>0</v>
      </c>
      <c r="AI36" s="19">
        <f t="shared" ref="AI36:AI67" si="32">B36*Y36</f>
        <v>0</v>
      </c>
      <c r="AJ36" s="15">
        <v>0</v>
      </c>
      <c r="AK36" s="19">
        <f t="shared" si="15"/>
        <v>0</v>
      </c>
      <c r="AL36" s="19">
        <f t="shared" si="16"/>
        <v>0</v>
      </c>
      <c r="AM36" s="19">
        <f t="shared" ref="AM36:AM67" si="33">O36*B36</f>
        <v>0</v>
      </c>
      <c r="AN36" s="19" t="e">
        <f t="shared" ref="AN36:AN67" si="34">IF(J36&lt;0,O36*B36,AM36*(T36/(T36+U36)))</f>
        <v>#DIV/0!</v>
      </c>
      <c r="AO36" s="19" t="e">
        <f t="shared" si="17"/>
        <v>#DIV/0!</v>
      </c>
      <c r="AP36" s="18" t="e">
        <f>-PV(#REF!,'3.6 - Open'!K36,'3.6 - Open'!P36)*'3.6 - Open'!B36</f>
        <v>#REF!</v>
      </c>
      <c r="AQ36" s="19" t="e">
        <f t="shared" si="18"/>
        <v>#REF!</v>
      </c>
      <c r="AR36" s="19" t="e">
        <f t="shared" si="19"/>
        <v>#REF!</v>
      </c>
      <c r="AS36" s="18" t="e">
        <f>B36*H36*K36*#REF!</f>
        <v>#REF!</v>
      </c>
      <c r="AT36" s="19" t="e">
        <f>B36*J36*K36*#REF!</f>
        <v>#REF!</v>
      </c>
      <c r="AU36" s="6"/>
      <c r="AV36" s="6"/>
      <c r="AW36" s="6"/>
      <c r="AX36" s="6"/>
      <c r="AY36" s="6"/>
    </row>
    <row r="37" spans="1:51" x14ac:dyDescent="0.25">
      <c r="A37" s="14"/>
      <c r="B37" s="14"/>
      <c r="C37" s="15"/>
      <c r="D37" s="14"/>
      <c r="E37" s="14" t="s">
        <v>24</v>
      </c>
      <c r="F37" s="15"/>
      <c r="G37" s="15"/>
      <c r="H37" s="14"/>
      <c r="I37" s="15"/>
      <c r="J37" s="14"/>
      <c r="K37" s="14"/>
      <c r="L37" s="15"/>
      <c r="M37" s="15"/>
      <c r="N37" s="15"/>
      <c r="O37" s="15"/>
      <c r="P37" s="15"/>
      <c r="Q37" s="15"/>
      <c r="R37" s="15"/>
      <c r="S37" s="15"/>
      <c r="T37" s="18">
        <f>IF(D37="Res Space Heat",VLOOKUP(K37,#REF!,4)*H37,IF(D37="Res AC",VLOOKUP(K37,#REF!,6)*H37,IF(D37="Res Lighting",VLOOKUP(K37,#REF!,8)*H37,IF(D37="Res Refrigeration",VLOOKUP(K37,#REF!,10)*H37,IF(D37="Res Water Heating",VLOOKUP(K37,#REF!,12)*H37,IF(D37="Res Dishwasher",VLOOKUP(K37,#REF!,14)*H37,IF(D37="Res Washer Dryer",VLOOKUP(K37,#REF!,16)*H37,IF(D37="Res Misc",VLOOKUP(K37,#REF!,18)*H37,IF(D37="Res Furnace Fan",VLOOKUP(K37,#REF!,20)*H37,IF(D37="NonRes Compressed Air",VLOOKUP(K37,#REF!,22)*H37,IF(D37="NonRes Cooking",VLOOKUP(K37,#REF!,24)*H37,IF(D37="NonRes Space Cooling",VLOOKUP(K37,#REF!,26)*H37,IF(D37="NonRes Exterior Lighting",VLOOKUP(K37,#REF!,28)*H37,IF(D37="NonRes Space Heating",VLOOKUP(K37,#REF!,30)*H37,IF(D37="NonRes Water Heating",VLOOKUP(K37,#REF!,32)*H37,IF(D37="NonRes Interior Lighting",VLOOKUP(K37,#REF!,34)*H37,IF(D37="NonRes Misc",VLOOKUP(K37,#REF!,36)*H37,IF(D37="NonRes Motors",VLOOKUP(K37,#REF!,38)*H37,IF(D37="NonRes Office Equipment",VLOOKUP(K37,#REF!,40)*H37,IF(D37="NonRes Process",VLOOKUP(K37,#REF!,42)*H37,IF(D37="NonRes Refrigeration",VLOOKUP(K37,#REF!,44)*H37,IF(D37="NonRes Ventilation",VLOOKUP(K37,#REF!,46)*H37,0))))))))))))))))))))))</f>
        <v>0</v>
      </c>
      <c r="U37" s="18">
        <f>IF(E37="Annual",VLOOKUP(K37,#REF!,4)*'3.6 - Open'!J37,IF(E37="Winter",VLOOKUP('3.6 - Open'!K37,#REF!,5)*'3.6 - Open'!J37,IF(E37="NA",0,0)))</f>
        <v>0</v>
      </c>
      <c r="V37" s="19">
        <f t="shared" si="20"/>
        <v>0</v>
      </c>
      <c r="W37" s="19">
        <f t="shared" si="21"/>
        <v>0</v>
      </c>
      <c r="X37" s="19">
        <f t="shared" si="22"/>
        <v>0</v>
      </c>
      <c r="Y37" s="19">
        <f t="shared" si="23"/>
        <v>0</v>
      </c>
      <c r="Z37" s="20" t="e">
        <f>(T37+U37+(PV(#REF!,'3.6 - Open'!K37,'3.6 - Open'!P37)*-1)+'3.6 - Open'!O37)/'3.6 - Open'!F37</f>
        <v>#REF!</v>
      </c>
      <c r="AA37" s="20" t="e">
        <f t="shared" si="24"/>
        <v>#DIV/0!</v>
      </c>
      <c r="AB37" s="21">
        <f t="shared" si="25"/>
        <v>0</v>
      </c>
      <c r="AC37" s="20">
        <f t="shared" si="26"/>
        <v>0</v>
      </c>
      <c r="AD37" s="20">
        <f t="shared" si="27"/>
        <v>0</v>
      </c>
      <c r="AE37" s="20">
        <f t="shared" si="28"/>
        <v>0</v>
      </c>
      <c r="AF37" s="19">
        <f t="shared" si="29"/>
        <v>0</v>
      </c>
      <c r="AG37" s="19">
        <f t="shared" si="30"/>
        <v>0</v>
      </c>
      <c r="AH37" s="19">
        <f t="shared" si="31"/>
        <v>0</v>
      </c>
      <c r="AI37" s="19">
        <f t="shared" si="32"/>
        <v>0</v>
      </c>
      <c r="AJ37" s="15">
        <v>0</v>
      </c>
      <c r="AK37" s="19">
        <f t="shared" si="15"/>
        <v>0</v>
      </c>
      <c r="AL37" s="19">
        <f t="shared" si="16"/>
        <v>0</v>
      </c>
      <c r="AM37" s="19">
        <f t="shared" si="33"/>
        <v>0</v>
      </c>
      <c r="AN37" s="19" t="e">
        <f t="shared" si="34"/>
        <v>#DIV/0!</v>
      </c>
      <c r="AO37" s="19" t="e">
        <f t="shared" si="17"/>
        <v>#DIV/0!</v>
      </c>
      <c r="AP37" s="18" t="e">
        <f>-PV(#REF!,'3.6 - Open'!K37,'3.6 - Open'!P37)*'3.6 - Open'!B37</f>
        <v>#REF!</v>
      </c>
      <c r="AQ37" s="19" t="e">
        <f t="shared" si="18"/>
        <v>#REF!</v>
      </c>
      <c r="AR37" s="19" t="e">
        <f t="shared" si="19"/>
        <v>#REF!</v>
      </c>
      <c r="AS37" s="18" t="e">
        <f>B37*H37*K37*#REF!</f>
        <v>#REF!</v>
      </c>
      <c r="AT37" s="19" t="e">
        <f>B37*J37*K37*#REF!</f>
        <v>#REF!</v>
      </c>
      <c r="AU37" s="6"/>
      <c r="AV37" s="6"/>
      <c r="AW37" s="6"/>
      <c r="AX37" s="6"/>
      <c r="AY37" s="6"/>
    </row>
    <row r="38" spans="1:51" x14ac:dyDescent="0.25">
      <c r="A38" s="14"/>
      <c r="B38" s="14"/>
      <c r="C38" s="15"/>
      <c r="D38" s="14"/>
      <c r="E38" s="14" t="s">
        <v>24</v>
      </c>
      <c r="F38" s="15"/>
      <c r="G38" s="15"/>
      <c r="H38" s="14"/>
      <c r="I38" s="15"/>
      <c r="J38" s="14"/>
      <c r="K38" s="14"/>
      <c r="L38" s="15"/>
      <c r="M38" s="15"/>
      <c r="N38" s="15"/>
      <c r="O38" s="15"/>
      <c r="P38" s="15"/>
      <c r="Q38" s="15"/>
      <c r="R38" s="15"/>
      <c r="S38" s="15"/>
      <c r="T38" s="18">
        <f>IF(D38="Res Space Heat",VLOOKUP(K38,#REF!,4)*H38,IF(D38="Res AC",VLOOKUP(K38,#REF!,6)*H38,IF(D38="Res Lighting",VLOOKUP(K38,#REF!,8)*H38,IF(D38="Res Refrigeration",VLOOKUP(K38,#REF!,10)*H38,IF(D38="Res Water Heating",VLOOKUP(K38,#REF!,12)*H38,IF(D38="Res Dishwasher",VLOOKUP(K38,#REF!,14)*H38,IF(D38="Res Washer Dryer",VLOOKUP(K38,#REF!,16)*H38,IF(D38="Res Misc",VLOOKUP(K38,#REF!,18)*H38,IF(D38="Res Furnace Fan",VLOOKUP(K38,#REF!,20)*H38,IF(D38="NonRes Compressed Air",VLOOKUP(K38,#REF!,22)*H38,IF(D38="NonRes Cooking",VLOOKUP(K38,#REF!,24)*H38,IF(D38="NonRes Space Cooling",VLOOKUP(K38,#REF!,26)*H38,IF(D38="NonRes Exterior Lighting",VLOOKUP(K38,#REF!,28)*H38,IF(D38="NonRes Space Heating",VLOOKUP(K38,#REF!,30)*H38,IF(D38="NonRes Water Heating",VLOOKUP(K38,#REF!,32)*H38,IF(D38="NonRes Interior Lighting",VLOOKUP(K38,#REF!,34)*H38,IF(D38="NonRes Misc",VLOOKUP(K38,#REF!,36)*H38,IF(D38="NonRes Motors",VLOOKUP(K38,#REF!,38)*H38,IF(D38="NonRes Office Equipment",VLOOKUP(K38,#REF!,40)*H38,IF(D38="NonRes Process",VLOOKUP(K38,#REF!,42)*H38,IF(D38="NonRes Refrigeration",VLOOKUP(K38,#REF!,44)*H38,IF(D38="NonRes Ventilation",VLOOKUP(K38,#REF!,46)*H38,0))))))))))))))))))))))</f>
        <v>0</v>
      </c>
      <c r="U38" s="18">
        <f>IF(E38="Annual",VLOOKUP(K38,#REF!,4)*'3.6 - Open'!J38,IF(E38="Winter",VLOOKUP('3.6 - Open'!K38,#REF!,5)*'3.6 - Open'!J38,IF(E38="NA",0,0)))</f>
        <v>0</v>
      </c>
      <c r="V38" s="19">
        <f t="shared" si="20"/>
        <v>0</v>
      </c>
      <c r="W38" s="19">
        <f t="shared" si="21"/>
        <v>0</v>
      </c>
      <c r="X38" s="19">
        <f t="shared" si="22"/>
        <v>0</v>
      </c>
      <c r="Y38" s="19">
        <f t="shared" si="23"/>
        <v>0</v>
      </c>
      <c r="Z38" s="20" t="e">
        <f>(T38+U38+(PV(#REF!,'3.6 - Open'!K38,'3.6 - Open'!P38)*-1)+'3.6 - Open'!O38)/'3.6 - Open'!F38</f>
        <v>#REF!</v>
      </c>
      <c r="AA38" s="20" t="e">
        <f t="shared" si="24"/>
        <v>#DIV/0!</v>
      </c>
      <c r="AB38" s="21">
        <f t="shared" si="25"/>
        <v>0</v>
      </c>
      <c r="AC38" s="20">
        <f t="shared" si="26"/>
        <v>0</v>
      </c>
      <c r="AD38" s="20">
        <f t="shared" si="27"/>
        <v>0</v>
      </c>
      <c r="AE38" s="20">
        <f t="shared" si="28"/>
        <v>0</v>
      </c>
      <c r="AF38" s="19">
        <f t="shared" si="29"/>
        <v>0</v>
      </c>
      <c r="AG38" s="19">
        <f t="shared" si="30"/>
        <v>0</v>
      </c>
      <c r="AH38" s="19">
        <f t="shared" si="31"/>
        <v>0</v>
      </c>
      <c r="AI38" s="19">
        <f t="shared" si="32"/>
        <v>0</v>
      </c>
      <c r="AJ38" s="15">
        <v>0</v>
      </c>
      <c r="AK38" s="19">
        <f t="shared" si="15"/>
        <v>0</v>
      </c>
      <c r="AL38" s="19">
        <f t="shared" si="16"/>
        <v>0</v>
      </c>
      <c r="AM38" s="19">
        <f t="shared" si="33"/>
        <v>0</v>
      </c>
      <c r="AN38" s="19" t="e">
        <f t="shared" si="34"/>
        <v>#DIV/0!</v>
      </c>
      <c r="AO38" s="19" t="e">
        <f t="shared" si="17"/>
        <v>#DIV/0!</v>
      </c>
      <c r="AP38" s="18" t="e">
        <f>-PV(#REF!,'3.6 - Open'!K38,'3.6 - Open'!P38)*'3.6 - Open'!B38</f>
        <v>#REF!</v>
      </c>
      <c r="AQ38" s="19" t="e">
        <f t="shared" si="18"/>
        <v>#REF!</v>
      </c>
      <c r="AR38" s="19" t="e">
        <f t="shared" si="19"/>
        <v>#REF!</v>
      </c>
      <c r="AS38" s="18" t="e">
        <f>B38*H38*K38*#REF!</f>
        <v>#REF!</v>
      </c>
      <c r="AT38" s="19" t="e">
        <f>B38*J38*K38*#REF!</f>
        <v>#REF!</v>
      </c>
      <c r="AU38" s="6"/>
      <c r="AV38" s="6"/>
      <c r="AW38" s="6"/>
      <c r="AX38" s="6"/>
      <c r="AY38" s="6"/>
    </row>
    <row r="39" spans="1:51" x14ac:dyDescent="0.25">
      <c r="A39" s="14"/>
      <c r="B39" s="14"/>
      <c r="C39" s="15"/>
      <c r="D39" s="14"/>
      <c r="E39" s="14" t="s">
        <v>24</v>
      </c>
      <c r="F39" s="15"/>
      <c r="G39" s="15"/>
      <c r="H39" s="14"/>
      <c r="I39" s="15"/>
      <c r="J39" s="14"/>
      <c r="K39" s="14"/>
      <c r="L39" s="15"/>
      <c r="M39" s="15"/>
      <c r="N39" s="15"/>
      <c r="O39" s="15"/>
      <c r="P39" s="15"/>
      <c r="Q39" s="15"/>
      <c r="R39" s="15"/>
      <c r="S39" s="15"/>
      <c r="T39" s="18">
        <f>IF(D39="Res Space Heat",VLOOKUP(K39,#REF!,4)*H39,IF(D39="Res AC",VLOOKUP(K39,#REF!,6)*H39,IF(D39="Res Lighting",VLOOKUP(K39,#REF!,8)*H39,IF(D39="Res Refrigeration",VLOOKUP(K39,#REF!,10)*H39,IF(D39="Res Water Heating",VLOOKUP(K39,#REF!,12)*H39,IF(D39="Res Dishwasher",VLOOKUP(K39,#REF!,14)*H39,IF(D39="Res Washer Dryer",VLOOKUP(K39,#REF!,16)*H39,IF(D39="Res Misc",VLOOKUP(K39,#REF!,18)*H39,IF(D39="Res Furnace Fan",VLOOKUP(K39,#REF!,20)*H39,IF(D39="NonRes Compressed Air",VLOOKUP(K39,#REF!,22)*H39,IF(D39="NonRes Cooking",VLOOKUP(K39,#REF!,24)*H39,IF(D39="NonRes Space Cooling",VLOOKUP(K39,#REF!,26)*H39,IF(D39="NonRes Exterior Lighting",VLOOKUP(K39,#REF!,28)*H39,IF(D39="NonRes Space Heating",VLOOKUP(K39,#REF!,30)*H39,IF(D39="NonRes Water Heating",VLOOKUP(K39,#REF!,32)*H39,IF(D39="NonRes Interior Lighting",VLOOKUP(K39,#REF!,34)*H39,IF(D39="NonRes Misc",VLOOKUP(K39,#REF!,36)*H39,IF(D39="NonRes Motors",VLOOKUP(K39,#REF!,38)*H39,IF(D39="NonRes Office Equipment",VLOOKUP(K39,#REF!,40)*H39,IF(D39="NonRes Process",VLOOKUP(K39,#REF!,42)*H39,IF(D39="NonRes Refrigeration",VLOOKUP(K39,#REF!,44)*H39,IF(D39="NonRes Ventilation",VLOOKUP(K39,#REF!,46)*H39,0))))))))))))))))))))))</f>
        <v>0</v>
      </c>
      <c r="U39" s="18">
        <f>IF(E39="Annual",VLOOKUP(K39,#REF!,4)*'3.6 - Open'!J39,IF(E39="Winter",VLOOKUP('3.6 - Open'!K39,#REF!,5)*'3.6 - Open'!J39,IF(E39="NA",0,0)))</f>
        <v>0</v>
      </c>
      <c r="V39" s="19">
        <f t="shared" si="20"/>
        <v>0</v>
      </c>
      <c r="W39" s="19">
        <f t="shared" si="21"/>
        <v>0</v>
      </c>
      <c r="X39" s="19">
        <f t="shared" si="22"/>
        <v>0</v>
      </c>
      <c r="Y39" s="19">
        <f t="shared" si="23"/>
        <v>0</v>
      </c>
      <c r="Z39" s="20" t="e">
        <f>(T39+U39+(PV(#REF!,'3.6 - Open'!K39,'3.6 - Open'!P39)*-1)+'3.6 - Open'!O39)/'3.6 - Open'!F39</f>
        <v>#REF!</v>
      </c>
      <c r="AA39" s="20" t="e">
        <f t="shared" si="24"/>
        <v>#DIV/0!</v>
      </c>
      <c r="AB39" s="21">
        <f t="shared" si="25"/>
        <v>0</v>
      </c>
      <c r="AC39" s="20">
        <f t="shared" si="26"/>
        <v>0</v>
      </c>
      <c r="AD39" s="20">
        <f t="shared" si="27"/>
        <v>0</v>
      </c>
      <c r="AE39" s="20">
        <f t="shared" si="28"/>
        <v>0</v>
      </c>
      <c r="AF39" s="19">
        <f t="shared" si="29"/>
        <v>0</v>
      </c>
      <c r="AG39" s="19">
        <f t="shared" si="30"/>
        <v>0</v>
      </c>
      <c r="AH39" s="19">
        <f t="shared" si="31"/>
        <v>0</v>
      </c>
      <c r="AI39" s="19">
        <f t="shared" si="32"/>
        <v>0</v>
      </c>
      <c r="AJ39" s="15">
        <v>0</v>
      </c>
      <c r="AK39" s="19">
        <f t="shared" si="15"/>
        <v>0</v>
      </c>
      <c r="AL39" s="19">
        <f t="shared" si="16"/>
        <v>0</v>
      </c>
      <c r="AM39" s="19">
        <f t="shared" si="33"/>
        <v>0</v>
      </c>
      <c r="AN39" s="19" t="e">
        <f t="shared" si="34"/>
        <v>#DIV/0!</v>
      </c>
      <c r="AO39" s="19" t="e">
        <f t="shared" si="17"/>
        <v>#DIV/0!</v>
      </c>
      <c r="AP39" s="18" t="e">
        <f>-PV(#REF!,'3.6 - Open'!K39,'3.6 - Open'!P39)*'3.6 - Open'!B39</f>
        <v>#REF!</v>
      </c>
      <c r="AQ39" s="19" t="e">
        <f t="shared" si="18"/>
        <v>#REF!</v>
      </c>
      <c r="AR39" s="19" t="e">
        <f t="shared" si="19"/>
        <v>#REF!</v>
      </c>
      <c r="AS39" s="18" t="e">
        <f>B39*H39*K39*#REF!</f>
        <v>#REF!</v>
      </c>
      <c r="AT39" s="19" t="e">
        <f>B39*J39*K39*#REF!</f>
        <v>#REF!</v>
      </c>
      <c r="AU39" s="6"/>
      <c r="AV39" s="6"/>
      <c r="AW39" s="6"/>
      <c r="AX39" s="6"/>
      <c r="AY39" s="6"/>
    </row>
    <row r="40" spans="1:51" x14ac:dyDescent="0.25">
      <c r="A40" s="14"/>
      <c r="B40" s="14"/>
      <c r="C40" s="15"/>
      <c r="D40" s="14"/>
      <c r="E40" s="14" t="s">
        <v>24</v>
      </c>
      <c r="F40" s="15"/>
      <c r="G40" s="15"/>
      <c r="H40" s="14"/>
      <c r="I40" s="15"/>
      <c r="J40" s="14"/>
      <c r="K40" s="14"/>
      <c r="L40" s="15"/>
      <c r="M40" s="15"/>
      <c r="N40" s="15"/>
      <c r="O40" s="15"/>
      <c r="P40" s="15"/>
      <c r="Q40" s="15"/>
      <c r="R40" s="15"/>
      <c r="S40" s="15"/>
      <c r="T40" s="18">
        <f>IF(D40="Res Space Heat",VLOOKUP(K40,#REF!,4)*H40,IF(D40="Res AC",VLOOKUP(K40,#REF!,6)*H40,IF(D40="Res Lighting",VLOOKUP(K40,#REF!,8)*H40,IF(D40="Res Refrigeration",VLOOKUP(K40,#REF!,10)*H40,IF(D40="Res Water Heating",VLOOKUP(K40,#REF!,12)*H40,IF(D40="Res Dishwasher",VLOOKUP(K40,#REF!,14)*H40,IF(D40="Res Washer Dryer",VLOOKUP(K40,#REF!,16)*H40,IF(D40="Res Misc",VLOOKUP(K40,#REF!,18)*H40,IF(D40="Res Furnace Fan",VLOOKUP(K40,#REF!,20)*H40,IF(D40="NonRes Compressed Air",VLOOKUP(K40,#REF!,22)*H40,IF(D40="NonRes Cooking",VLOOKUP(K40,#REF!,24)*H40,IF(D40="NonRes Space Cooling",VLOOKUP(K40,#REF!,26)*H40,IF(D40="NonRes Exterior Lighting",VLOOKUP(K40,#REF!,28)*H40,IF(D40="NonRes Space Heating",VLOOKUP(K40,#REF!,30)*H40,IF(D40="NonRes Water Heating",VLOOKUP(K40,#REF!,32)*H40,IF(D40="NonRes Interior Lighting",VLOOKUP(K40,#REF!,34)*H40,IF(D40="NonRes Misc",VLOOKUP(K40,#REF!,36)*H40,IF(D40="NonRes Motors",VLOOKUP(K40,#REF!,38)*H40,IF(D40="NonRes Office Equipment",VLOOKUP(K40,#REF!,40)*H40,IF(D40="NonRes Process",VLOOKUP(K40,#REF!,42)*H40,IF(D40="NonRes Refrigeration",VLOOKUP(K40,#REF!,44)*H40,IF(D40="NonRes Ventilation",VLOOKUP(K40,#REF!,46)*H40,0))))))))))))))))))))))</f>
        <v>0</v>
      </c>
      <c r="U40" s="18">
        <f>IF(E40="Annual",VLOOKUP(K40,#REF!,4)*'3.6 - Open'!J40,IF(E40="Winter",VLOOKUP('3.6 - Open'!K40,#REF!,5)*'3.6 - Open'!J40,IF(E40="NA",0,0)))</f>
        <v>0</v>
      </c>
      <c r="V40" s="19">
        <f t="shared" si="20"/>
        <v>0</v>
      </c>
      <c r="W40" s="19">
        <f t="shared" si="21"/>
        <v>0</v>
      </c>
      <c r="X40" s="19">
        <f t="shared" si="22"/>
        <v>0</v>
      </c>
      <c r="Y40" s="19">
        <f t="shared" si="23"/>
        <v>0</v>
      </c>
      <c r="Z40" s="20" t="e">
        <f>(T40+U40+(PV(#REF!,'3.6 - Open'!K40,'3.6 - Open'!P40)*-1)+'3.6 - Open'!O40)/'3.6 - Open'!F40</f>
        <v>#REF!</v>
      </c>
      <c r="AA40" s="20" t="e">
        <f t="shared" si="24"/>
        <v>#DIV/0!</v>
      </c>
      <c r="AB40" s="21">
        <f t="shared" si="25"/>
        <v>0</v>
      </c>
      <c r="AC40" s="20">
        <f t="shared" si="26"/>
        <v>0</v>
      </c>
      <c r="AD40" s="20">
        <f t="shared" si="27"/>
        <v>0</v>
      </c>
      <c r="AE40" s="20">
        <f t="shared" si="28"/>
        <v>0</v>
      </c>
      <c r="AF40" s="19">
        <f t="shared" si="29"/>
        <v>0</v>
      </c>
      <c r="AG40" s="19">
        <f t="shared" si="30"/>
        <v>0</v>
      </c>
      <c r="AH40" s="19">
        <f t="shared" si="31"/>
        <v>0</v>
      </c>
      <c r="AI40" s="19">
        <f t="shared" si="32"/>
        <v>0</v>
      </c>
      <c r="AJ40" s="15">
        <v>0</v>
      </c>
      <c r="AK40" s="19">
        <f t="shared" si="15"/>
        <v>0</v>
      </c>
      <c r="AL40" s="19">
        <f t="shared" si="16"/>
        <v>0</v>
      </c>
      <c r="AM40" s="19">
        <f t="shared" si="33"/>
        <v>0</v>
      </c>
      <c r="AN40" s="19" t="e">
        <f t="shared" si="34"/>
        <v>#DIV/0!</v>
      </c>
      <c r="AO40" s="19" t="e">
        <f t="shared" si="17"/>
        <v>#DIV/0!</v>
      </c>
      <c r="AP40" s="18" t="e">
        <f>-PV(#REF!,'3.6 - Open'!K40,'3.6 - Open'!P40)*'3.6 - Open'!B40</f>
        <v>#REF!</v>
      </c>
      <c r="AQ40" s="19" t="e">
        <f t="shared" si="18"/>
        <v>#REF!</v>
      </c>
      <c r="AR40" s="19" t="e">
        <f t="shared" si="19"/>
        <v>#REF!</v>
      </c>
      <c r="AS40" s="18" t="e">
        <f>B40*H40*K40*#REF!</f>
        <v>#REF!</v>
      </c>
      <c r="AT40" s="19" t="e">
        <f>B40*J40*K40*#REF!</f>
        <v>#REF!</v>
      </c>
      <c r="AU40" s="6"/>
      <c r="AV40" s="6"/>
      <c r="AW40" s="6"/>
      <c r="AX40" s="6"/>
      <c r="AY40" s="6"/>
    </row>
    <row r="41" spans="1:51" x14ac:dyDescent="0.25">
      <c r="A41" s="14"/>
      <c r="B41" s="14"/>
      <c r="C41" s="15"/>
      <c r="D41" s="14"/>
      <c r="E41" s="14" t="s">
        <v>24</v>
      </c>
      <c r="F41" s="15"/>
      <c r="G41" s="15"/>
      <c r="H41" s="14"/>
      <c r="I41" s="15"/>
      <c r="J41" s="14"/>
      <c r="K41" s="14"/>
      <c r="L41" s="15"/>
      <c r="M41" s="15"/>
      <c r="N41" s="15"/>
      <c r="O41" s="15"/>
      <c r="P41" s="15"/>
      <c r="Q41" s="15"/>
      <c r="R41" s="15"/>
      <c r="S41" s="15"/>
      <c r="T41" s="18">
        <f>IF(D41="Res Space Heat",VLOOKUP(K41,#REF!,4)*H41,IF(D41="Res AC",VLOOKUP(K41,#REF!,6)*H41,IF(D41="Res Lighting",VLOOKUP(K41,#REF!,8)*H41,IF(D41="Res Refrigeration",VLOOKUP(K41,#REF!,10)*H41,IF(D41="Res Water Heating",VLOOKUP(K41,#REF!,12)*H41,IF(D41="Res Dishwasher",VLOOKUP(K41,#REF!,14)*H41,IF(D41="Res Washer Dryer",VLOOKUP(K41,#REF!,16)*H41,IF(D41="Res Misc",VLOOKUP(K41,#REF!,18)*H41,IF(D41="Res Furnace Fan",VLOOKUP(K41,#REF!,20)*H41,IF(D41="NonRes Compressed Air",VLOOKUP(K41,#REF!,22)*H41,IF(D41="NonRes Cooking",VLOOKUP(K41,#REF!,24)*H41,IF(D41="NonRes Space Cooling",VLOOKUP(K41,#REF!,26)*H41,IF(D41="NonRes Exterior Lighting",VLOOKUP(K41,#REF!,28)*H41,IF(D41="NonRes Space Heating",VLOOKUP(K41,#REF!,30)*H41,IF(D41="NonRes Water Heating",VLOOKUP(K41,#REF!,32)*H41,IF(D41="NonRes Interior Lighting",VLOOKUP(K41,#REF!,34)*H41,IF(D41="NonRes Misc",VLOOKUP(K41,#REF!,36)*H41,IF(D41="NonRes Motors",VLOOKUP(K41,#REF!,38)*H41,IF(D41="NonRes Office Equipment",VLOOKUP(K41,#REF!,40)*H41,IF(D41="NonRes Process",VLOOKUP(K41,#REF!,42)*H41,IF(D41="NonRes Refrigeration",VLOOKUP(K41,#REF!,44)*H41,IF(D41="NonRes Ventilation",VLOOKUP(K41,#REF!,46)*H41,0))))))))))))))))))))))</f>
        <v>0</v>
      </c>
      <c r="U41" s="18">
        <f>IF(E41="Annual",VLOOKUP(K41,#REF!,4)*'3.6 - Open'!J41,IF(E41="Winter",VLOOKUP('3.6 - Open'!K41,#REF!,5)*'3.6 - Open'!J41,IF(E41="NA",0,0)))</f>
        <v>0</v>
      </c>
      <c r="V41" s="19">
        <f t="shared" si="20"/>
        <v>0</v>
      </c>
      <c r="W41" s="19">
        <f t="shared" si="21"/>
        <v>0</v>
      </c>
      <c r="X41" s="19">
        <f t="shared" si="22"/>
        <v>0</v>
      </c>
      <c r="Y41" s="19">
        <f t="shared" si="23"/>
        <v>0</v>
      </c>
      <c r="Z41" s="20" t="e">
        <f>(T41+U41+(PV(#REF!,'3.6 - Open'!K41,'3.6 - Open'!P41)*-1)+'3.6 - Open'!O41)/'3.6 - Open'!F41</f>
        <v>#REF!</v>
      </c>
      <c r="AA41" s="20" t="e">
        <f t="shared" si="24"/>
        <v>#DIV/0!</v>
      </c>
      <c r="AB41" s="21">
        <f t="shared" si="25"/>
        <v>0</v>
      </c>
      <c r="AC41" s="20">
        <f t="shared" si="26"/>
        <v>0</v>
      </c>
      <c r="AD41" s="20">
        <f t="shared" si="27"/>
        <v>0</v>
      </c>
      <c r="AE41" s="20">
        <f t="shared" si="28"/>
        <v>0</v>
      </c>
      <c r="AF41" s="19">
        <f t="shared" si="29"/>
        <v>0</v>
      </c>
      <c r="AG41" s="19">
        <f t="shared" si="30"/>
        <v>0</v>
      </c>
      <c r="AH41" s="19">
        <f t="shared" si="31"/>
        <v>0</v>
      </c>
      <c r="AI41" s="19">
        <f t="shared" si="32"/>
        <v>0</v>
      </c>
      <c r="AJ41" s="15">
        <v>0</v>
      </c>
      <c r="AK41" s="19">
        <f t="shared" si="15"/>
        <v>0</v>
      </c>
      <c r="AL41" s="19">
        <f t="shared" si="16"/>
        <v>0</v>
      </c>
      <c r="AM41" s="19">
        <f t="shared" si="33"/>
        <v>0</v>
      </c>
      <c r="AN41" s="19" t="e">
        <f t="shared" si="34"/>
        <v>#DIV/0!</v>
      </c>
      <c r="AO41" s="19" t="e">
        <f t="shared" si="17"/>
        <v>#DIV/0!</v>
      </c>
      <c r="AP41" s="18" t="e">
        <f>-PV(#REF!,'3.6 - Open'!K41,'3.6 - Open'!P41)*'3.6 - Open'!B41</f>
        <v>#REF!</v>
      </c>
      <c r="AQ41" s="19" t="e">
        <f t="shared" si="18"/>
        <v>#REF!</v>
      </c>
      <c r="AR41" s="19" t="e">
        <f t="shared" si="19"/>
        <v>#REF!</v>
      </c>
      <c r="AS41" s="18" t="e">
        <f>B41*H41*K41*#REF!</f>
        <v>#REF!</v>
      </c>
      <c r="AT41" s="19" t="e">
        <f>B41*J41*K41*#REF!</f>
        <v>#REF!</v>
      </c>
      <c r="AU41" s="6"/>
      <c r="AV41" s="6"/>
      <c r="AW41" s="6"/>
      <c r="AX41" s="6"/>
      <c r="AY41" s="6"/>
    </row>
    <row r="42" spans="1:51" x14ac:dyDescent="0.25">
      <c r="A42" s="14"/>
      <c r="B42" s="14"/>
      <c r="C42" s="15"/>
      <c r="D42" s="14"/>
      <c r="E42" s="14" t="s">
        <v>24</v>
      </c>
      <c r="F42" s="15"/>
      <c r="G42" s="15"/>
      <c r="H42" s="14"/>
      <c r="I42" s="15"/>
      <c r="J42" s="14"/>
      <c r="K42" s="14"/>
      <c r="L42" s="15"/>
      <c r="M42" s="15"/>
      <c r="N42" s="15"/>
      <c r="O42" s="15"/>
      <c r="P42" s="15"/>
      <c r="Q42" s="15"/>
      <c r="R42" s="15"/>
      <c r="S42" s="15"/>
      <c r="T42" s="18">
        <f>IF(D42="Res Space Heat",VLOOKUP(K42,#REF!,4)*H42,IF(D42="Res AC",VLOOKUP(K42,#REF!,6)*H42,IF(D42="Res Lighting",VLOOKUP(K42,#REF!,8)*H42,IF(D42="Res Refrigeration",VLOOKUP(K42,#REF!,10)*H42,IF(D42="Res Water Heating",VLOOKUP(K42,#REF!,12)*H42,IF(D42="Res Dishwasher",VLOOKUP(K42,#REF!,14)*H42,IF(D42="Res Washer Dryer",VLOOKUP(K42,#REF!,16)*H42,IF(D42="Res Misc",VLOOKUP(K42,#REF!,18)*H42,IF(D42="Res Furnace Fan",VLOOKUP(K42,#REF!,20)*H42,IF(D42="NonRes Compressed Air",VLOOKUP(K42,#REF!,22)*H42,IF(D42="NonRes Cooking",VLOOKUP(K42,#REF!,24)*H42,IF(D42="NonRes Space Cooling",VLOOKUP(K42,#REF!,26)*H42,IF(D42="NonRes Exterior Lighting",VLOOKUP(K42,#REF!,28)*H42,IF(D42="NonRes Space Heating",VLOOKUP(K42,#REF!,30)*H42,IF(D42="NonRes Water Heating",VLOOKUP(K42,#REF!,32)*H42,IF(D42="NonRes Interior Lighting",VLOOKUP(K42,#REF!,34)*H42,IF(D42="NonRes Misc",VLOOKUP(K42,#REF!,36)*H42,IF(D42="NonRes Motors",VLOOKUP(K42,#REF!,38)*H42,IF(D42="NonRes Office Equipment",VLOOKUP(K42,#REF!,40)*H42,IF(D42="NonRes Process",VLOOKUP(K42,#REF!,42)*H42,IF(D42="NonRes Refrigeration",VLOOKUP(K42,#REF!,44)*H42,IF(D42="NonRes Ventilation",VLOOKUP(K42,#REF!,46)*H42,0))))))))))))))))))))))</f>
        <v>0</v>
      </c>
      <c r="U42" s="18">
        <f>IF(E42="Annual",VLOOKUP(K42,#REF!,4)*'3.6 - Open'!J42,IF(E42="Winter",VLOOKUP('3.6 - Open'!K42,#REF!,5)*'3.6 - Open'!J42,IF(E42="NA",0,0)))</f>
        <v>0</v>
      </c>
      <c r="V42" s="19">
        <f t="shared" si="20"/>
        <v>0</v>
      </c>
      <c r="W42" s="19">
        <f t="shared" si="21"/>
        <v>0</v>
      </c>
      <c r="X42" s="19">
        <f t="shared" si="22"/>
        <v>0</v>
      </c>
      <c r="Y42" s="19">
        <f t="shared" si="23"/>
        <v>0</v>
      </c>
      <c r="Z42" s="20" t="e">
        <f>(T42+U42+(PV(#REF!,'3.6 - Open'!K42,'3.6 - Open'!P42)*-1)+'3.6 - Open'!O42)/'3.6 - Open'!F42</f>
        <v>#REF!</v>
      </c>
      <c r="AA42" s="20" t="e">
        <f t="shared" si="24"/>
        <v>#DIV/0!</v>
      </c>
      <c r="AB42" s="21">
        <f t="shared" si="25"/>
        <v>0</v>
      </c>
      <c r="AC42" s="20">
        <f t="shared" si="26"/>
        <v>0</v>
      </c>
      <c r="AD42" s="20">
        <f t="shared" si="27"/>
        <v>0</v>
      </c>
      <c r="AE42" s="20">
        <f t="shared" si="28"/>
        <v>0</v>
      </c>
      <c r="AF42" s="19">
        <f t="shared" si="29"/>
        <v>0</v>
      </c>
      <c r="AG42" s="19">
        <f t="shared" si="30"/>
        <v>0</v>
      </c>
      <c r="AH42" s="19">
        <f t="shared" si="31"/>
        <v>0</v>
      </c>
      <c r="AI42" s="19">
        <f t="shared" si="32"/>
        <v>0</v>
      </c>
      <c r="AJ42" s="15">
        <v>0</v>
      </c>
      <c r="AK42" s="19">
        <f t="shared" si="15"/>
        <v>0</v>
      </c>
      <c r="AL42" s="19">
        <f t="shared" si="16"/>
        <v>0</v>
      </c>
      <c r="AM42" s="19">
        <f t="shared" si="33"/>
        <v>0</v>
      </c>
      <c r="AN42" s="19" t="e">
        <f t="shared" si="34"/>
        <v>#DIV/0!</v>
      </c>
      <c r="AO42" s="19" t="e">
        <f t="shared" si="17"/>
        <v>#DIV/0!</v>
      </c>
      <c r="AP42" s="18" t="e">
        <f>-PV(#REF!,'3.6 - Open'!K42,'3.6 - Open'!P42)*'3.6 - Open'!B42</f>
        <v>#REF!</v>
      </c>
      <c r="AQ42" s="19" t="e">
        <f t="shared" si="18"/>
        <v>#REF!</v>
      </c>
      <c r="AR42" s="19" t="e">
        <f t="shared" si="19"/>
        <v>#REF!</v>
      </c>
      <c r="AS42" s="18" t="e">
        <f>B42*H42*K42*#REF!</f>
        <v>#REF!</v>
      </c>
      <c r="AT42" s="19" t="e">
        <f>B42*J42*K42*#REF!</f>
        <v>#REF!</v>
      </c>
      <c r="AU42" s="6"/>
      <c r="AV42" s="6"/>
      <c r="AW42" s="6"/>
      <c r="AX42" s="6"/>
      <c r="AY42" s="6"/>
    </row>
    <row r="43" spans="1:51" x14ac:dyDescent="0.25">
      <c r="A43" s="14"/>
      <c r="B43" s="14"/>
      <c r="C43" s="15"/>
      <c r="D43" s="14"/>
      <c r="E43" s="14" t="s">
        <v>24</v>
      </c>
      <c r="F43" s="15"/>
      <c r="G43" s="15"/>
      <c r="H43" s="14"/>
      <c r="I43" s="15"/>
      <c r="J43" s="14"/>
      <c r="K43" s="14"/>
      <c r="L43" s="15"/>
      <c r="M43" s="15"/>
      <c r="N43" s="15"/>
      <c r="O43" s="15"/>
      <c r="P43" s="15"/>
      <c r="Q43" s="15"/>
      <c r="R43" s="15"/>
      <c r="S43" s="15"/>
      <c r="T43" s="18">
        <f>IF(D43="Res Space Heat",VLOOKUP(K43,#REF!,4)*H43,IF(D43="Res AC",VLOOKUP(K43,#REF!,6)*H43,IF(D43="Res Lighting",VLOOKUP(K43,#REF!,8)*H43,IF(D43="Res Refrigeration",VLOOKUP(K43,#REF!,10)*H43,IF(D43="Res Water Heating",VLOOKUP(K43,#REF!,12)*H43,IF(D43="Res Dishwasher",VLOOKUP(K43,#REF!,14)*H43,IF(D43="Res Washer Dryer",VLOOKUP(K43,#REF!,16)*H43,IF(D43="Res Misc",VLOOKUP(K43,#REF!,18)*H43,IF(D43="Res Furnace Fan",VLOOKUP(K43,#REF!,20)*H43,IF(D43="NonRes Compressed Air",VLOOKUP(K43,#REF!,22)*H43,IF(D43="NonRes Cooking",VLOOKUP(K43,#REF!,24)*H43,IF(D43="NonRes Space Cooling",VLOOKUP(K43,#REF!,26)*H43,IF(D43="NonRes Exterior Lighting",VLOOKUP(K43,#REF!,28)*H43,IF(D43="NonRes Space Heating",VLOOKUP(K43,#REF!,30)*H43,IF(D43="NonRes Water Heating",VLOOKUP(K43,#REF!,32)*H43,IF(D43="NonRes Interior Lighting",VLOOKUP(K43,#REF!,34)*H43,IF(D43="NonRes Misc",VLOOKUP(K43,#REF!,36)*H43,IF(D43="NonRes Motors",VLOOKUP(K43,#REF!,38)*H43,IF(D43="NonRes Office Equipment",VLOOKUP(K43,#REF!,40)*H43,IF(D43="NonRes Process",VLOOKUP(K43,#REF!,42)*H43,IF(D43="NonRes Refrigeration",VLOOKUP(K43,#REF!,44)*H43,IF(D43="NonRes Ventilation",VLOOKUP(K43,#REF!,46)*H43,0))))))))))))))))))))))</f>
        <v>0</v>
      </c>
      <c r="U43" s="18">
        <f>IF(E43="Annual",VLOOKUP(K43,#REF!,4)*'3.6 - Open'!J43,IF(E43="Winter",VLOOKUP('3.6 - Open'!K43,#REF!,5)*'3.6 - Open'!J43,IF(E43="NA",0,0)))</f>
        <v>0</v>
      </c>
      <c r="V43" s="19">
        <f t="shared" si="20"/>
        <v>0</v>
      </c>
      <c r="W43" s="19">
        <f t="shared" si="21"/>
        <v>0</v>
      </c>
      <c r="X43" s="19">
        <f t="shared" si="22"/>
        <v>0</v>
      </c>
      <c r="Y43" s="19">
        <f t="shared" si="23"/>
        <v>0</v>
      </c>
      <c r="Z43" s="20" t="e">
        <f>(T43+U43+(PV(#REF!,'3.6 - Open'!K43,'3.6 - Open'!P43)*-1)+'3.6 - Open'!O43)/'3.6 - Open'!F43</f>
        <v>#REF!</v>
      </c>
      <c r="AA43" s="20" t="e">
        <f t="shared" si="24"/>
        <v>#DIV/0!</v>
      </c>
      <c r="AB43" s="21">
        <f t="shared" si="25"/>
        <v>0</v>
      </c>
      <c r="AC43" s="20">
        <f t="shared" si="26"/>
        <v>0</v>
      </c>
      <c r="AD43" s="20">
        <f t="shared" si="27"/>
        <v>0</v>
      </c>
      <c r="AE43" s="20">
        <f t="shared" si="28"/>
        <v>0</v>
      </c>
      <c r="AF43" s="19">
        <f t="shared" si="29"/>
        <v>0</v>
      </c>
      <c r="AG43" s="19">
        <f t="shared" si="30"/>
        <v>0</v>
      </c>
      <c r="AH43" s="19">
        <f t="shared" si="31"/>
        <v>0</v>
      </c>
      <c r="AI43" s="19">
        <f t="shared" si="32"/>
        <v>0</v>
      </c>
      <c r="AJ43" s="15">
        <v>0</v>
      </c>
      <c r="AK43" s="19">
        <f t="shared" si="15"/>
        <v>0</v>
      </c>
      <c r="AL43" s="19">
        <f t="shared" si="16"/>
        <v>0</v>
      </c>
      <c r="AM43" s="19">
        <f t="shared" si="33"/>
        <v>0</v>
      </c>
      <c r="AN43" s="19" t="e">
        <f t="shared" si="34"/>
        <v>#DIV/0!</v>
      </c>
      <c r="AO43" s="19" t="e">
        <f t="shared" si="17"/>
        <v>#DIV/0!</v>
      </c>
      <c r="AP43" s="18" t="e">
        <f>-PV(#REF!,'3.6 - Open'!K43,'3.6 - Open'!P43)*'3.6 - Open'!B43</f>
        <v>#REF!</v>
      </c>
      <c r="AQ43" s="19" t="e">
        <f t="shared" si="18"/>
        <v>#REF!</v>
      </c>
      <c r="AR43" s="19" t="e">
        <f t="shared" si="19"/>
        <v>#REF!</v>
      </c>
      <c r="AS43" s="18" t="e">
        <f>B43*H43*K43*#REF!</f>
        <v>#REF!</v>
      </c>
      <c r="AT43" s="19" t="e">
        <f>B43*J43*K43*#REF!</f>
        <v>#REF!</v>
      </c>
      <c r="AU43" s="6"/>
      <c r="AV43" s="6"/>
      <c r="AW43" s="6"/>
      <c r="AX43" s="6"/>
      <c r="AY43" s="6"/>
    </row>
    <row r="44" spans="1:51" x14ac:dyDescent="0.25">
      <c r="A44" s="14"/>
      <c r="B44" s="14"/>
      <c r="C44" s="15"/>
      <c r="D44" s="14"/>
      <c r="E44" s="14" t="s">
        <v>24</v>
      </c>
      <c r="F44" s="15"/>
      <c r="G44" s="15"/>
      <c r="H44" s="14"/>
      <c r="I44" s="15"/>
      <c r="J44" s="14"/>
      <c r="K44" s="14"/>
      <c r="L44" s="15"/>
      <c r="M44" s="15"/>
      <c r="N44" s="15"/>
      <c r="O44" s="15"/>
      <c r="P44" s="15"/>
      <c r="Q44" s="15"/>
      <c r="R44" s="15"/>
      <c r="S44" s="15"/>
      <c r="T44" s="18">
        <f>IF(D44="Res Space Heat",VLOOKUP(K44,#REF!,4)*H44,IF(D44="Res AC",VLOOKUP(K44,#REF!,6)*H44,IF(D44="Res Lighting",VLOOKUP(K44,#REF!,8)*H44,IF(D44="Res Refrigeration",VLOOKUP(K44,#REF!,10)*H44,IF(D44="Res Water Heating",VLOOKUP(K44,#REF!,12)*H44,IF(D44="Res Dishwasher",VLOOKUP(K44,#REF!,14)*H44,IF(D44="Res Washer Dryer",VLOOKUP(K44,#REF!,16)*H44,IF(D44="Res Misc",VLOOKUP(K44,#REF!,18)*H44,IF(D44="Res Furnace Fan",VLOOKUP(K44,#REF!,20)*H44,IF(D44="NonRes Compressed Air",VLOOKUP(K44,#REF!,22)*H44,IF(D44="NonRes Cooking",VLOOKUP(K44,#REF!,24)*H44,IF(D44="NonRes Space Cooling",VLOOKUP(K44,#REF!,26)*H44,IF(D44="NonRes Exterior Lighting",VLOOKUP(K44,#REF!,28)*H44,IF(D44="NonRes Space Heating",VLOOKUP(K44,#REF!,30)*H44,IF(D44="NonRes Water Heating",VLOOKUP(K44,#REF!,32)*H44,IF(D44="NonRes Interior Lighting",VLOOKUP(K44,#REF!,34)*H44,IF(D44="NonRes Misc",VLOOKUP(K44,#REF!,36)*H44,IF(D44="NonRes Motors",VLOOKUP(K44,#REF!,38)*H44,IF(D44="NonRes Office Equipment",VLOOKUP(K44,#REF!,40)*H44,IF(D44="NonRes Process",VLOOKUP(K44,#REF!,42)*H44,IF(D44="NonRes Refrigeration",VLOOKUP(K44,#REF!,44)*H44,IF(D44="NonRes Ventilation",VLOOKUP(K44,#REF!,46)*H44,0))))))))))))))))))))))</f>
        <v>0</v>
      </c>
      <c r="U44" s="18">
        <f>IF(E44="Annual",VLOOKUP(K44,#REF!,4)*'3.6 - Open'!J44,IF(E44="Winter",VLOOKUP('3.6 - Open'!K44,#REF!,5)*'3.6 - Open'!J44,IF(E44="NA",0,0)))</f>
        <v>0</v>
      </c>
      <c r="V44" s="19">
        <f t="shared" si="20"/>
        <v>0</v>
      </c>
      <c r="W44" s="19">
        <f t="shared" si="21"/>
        <v>0</v>
      </c>
      <c r="X44" s="19">
        <f t="shared" si="22"/>
        <v>0</v>
      </c>
      <c r="Y44" s="19">
        <f t="shared" si="23"/>
        <v>0</v>
      </c>
      <c r="Z44" s="20" t="e">
        <f>(T44+U44+(PV(#REF!,'3.6 - Open'!K44,'3.6 - Open'!P44)*-1)+'3.6 - Open'!O44)/'3.6 - Open'!F44</f>
        <v>#REF!</v>
      </c>
      <c r="AA44" s="20" t="e">
        <f t="shared" si="24"/>
        <v>#DIV/0!</v>
      </c>
      <c r="AB44" s="21">
        <f t="shared" si="25"/>
        <v>0</v>
      </c>
      <c r="AC44" s="20">
        <f t="shared" si="26"/>
        <v>0</v>
      </c>
      <c r="AD44" s="20">
        <f t="shared" si="27"/>
        <v>0</v>
      </c>
      <c r="AE44" s="20">
        <f t="shared" si="28"/>
        <v>0</v>
      </c>
      <c r="AF44" s="19">
        <f t="shared" si="29"/>
        <v>0</v>
      </c>
      <c r="AG44" s="19">
        <f t="shared" si="30"/>
        <v>0</v>
      </c>
      <c r="AH44" s="19">
        <f t="shared" si="31"/>
        <v>0</v>
      </c>
      <c r="AI44" s="19">
        <f t="shared" si="32"/>
        <v>0</v>
      </c>
      <c r="AJ44" s="15">
        <v>0</v>
      </c>
      <c r="AK44" s="19">
        <f t="shared" si="15"/>
        <v>0</v>
      </c>
      <c r="AL44" s="19">
        <f t="shared" si="16"/>
        <v>0</v>
      </c>
      <c r="AM44" s="19">
        <f t="shared" si="33"/>
        <v>0</v>
      </c>
      <c r="AN44" s="19" t="e">
        <f t="shared" si="34"/>
        <v>#DIV/0!</v>
      </c>
      <c r="AO44" s="19" t="e">
        <f t="shared" si="17"/>
        <v>#DIV/0!</v>
      </c>
      <c r="AP44" s="18" t="e">
        <f>-PV(#REF!,'3.6 - Open'!K44,'3.6 - Open'!P44)*'3.6 - Open'!B44</f>
        <v>#REF!</v>
      </c>
      <c r="AQ44" s="19" t="e">
        <f t="shared" si="18"/>
        <v>#REF!</v>
      </c>
      <c r="AR44" s="19" t="e">
        <f t="shared" si="19"/>
        <v>#REF!</v>
      </c>
      <c r="AS44" s="18" t="e">
        <f>B44*H44*K44*#REF!</f>
        <v>#REF!</v>
      </c>
      <c r="AT44" s="19" t="e">
        <f>B44*J44*K44*#REF!</f>
        <v>#REF!</v>
      </c>
      <c r="AU44" s="6"/>
      <c r="AV44" s="6"/>
      <c r="AW44" s="6"/>
      <c r="AX44" s="6"/>
      <c r="AY44" s="6"/>
    </row>
    <row r="45" spans="1:51" x14ac:dyDescent="0.25">
      <c r="A45" s="14"/>
      <c r="B45" s="14"/>
      <c r="C45" s="15"/>
      <c r="D45" s="14"/>
      <c r="E45" s="14" t="s">
        <v>24</v>
      </c>
      <c r="F45" s="15"/>
      <c r="G45" s="15"/>
      <c r="H45" s="14"/>
      <c r="I45" s="15"/>
      <c r="J45" s="14"/>
      <c r="K45" s="14"/>
      <c r="L45" s="15"/>
      <c r="M45" s="15"/>
      <c r="N45" s="15"/>
      <c r="O45" s="15"/>
      <c r="P45" s="15"/>
      <c r="Q45" s="15"/>
      <c r="R45" s="15"/>
      <c r="S45" s="15"/>
      <c r="T45" s="18">
        <f>IF(D45="Res Space Heat",VLOOKUP(K45,#REF!,4)*H45,IF(D45="Res AC",VLOOKUP(K45,#REF!,6)*H45,IF(D45="Res Lighting",VLOOKUP(K45,#REF!,8)*H45,IF(D45="Res Refrigeration",VLOOKUP(K45,#REF!,10)*H45,IF(D45="Res Water Heating",VLOOKUP(K45,#REF!,12)*H45,IF(D45="Res Dishwasher",VLOOKUP(K45,#REF!,14)*H45,IF(D45="Res Washer Dryer",VLOOKUP(K45,#REF!,16)*H45,IF(D45="Res Misc",VLOOKUP(K45,#REF!,18)*H45,IF(D45="Res Furnace Fan",VLOOKUP(K45,#REF!,20)*H45,IF(D45="NonRes Compressed Air",VLOOKUP(K45,#REF!,22)*H45,IF(D45="NonRes Cooking",VLOOKUP(K45,#REF!,24)*H45,IF(D45="NonRes Space Cooling",VLOOKUP(K45,#REF!,26)*H45,IF(D45="NonRes Exterior Lighting",VLOOKUP(K45,#REF!,28)*H45,IF(D45="NonRes Space Heating",VLOOKUP(K45,#REF!,30)*H45,IF(D45="NonRes Water Heating",VLOOKUP(K45,#REF!,32)*H45,IF(D45="NonRes Interior Lighting",VLOOKUP(K45,#REF!,34)*H45,IF(D45="NonRes Misc",VLOOKUP(K45,#REF!,36)*H45,IF(D45="NonRes Motors",VLOOKUP(K45,#REF!,38)*H45,IF(D45="NonRes Office Equipment",VLOOKUP(K45,#REF!,40)*H45,IF(D45="NonRes Process",VLOOKUP(K45,#REF!,42)*H45,IF(D45="NonRes Refrigeration",VLOOKUP(K45,#REF!,44)*H45,IF(D45="NonRes Ventilation",VLOOKUP(K45,#REF!,46)*H45,0))))))))))))))))))))))</f>
        <v>0</v>
      </c>
      <c r="U45" s="18">
        <f>IF(E45="Annual",VLOOKUP(K45,#REF!,4)*'3.6 - Open'!J45,IF(E45="Winter",VLOOKUP('3.6 - Open'!K45,#REF!,5)*'3.6 - Open'!J45,IF(E45="NA",0,0)))</f>
        <v>0</v>
      </c>
      <c r="V45" s="19">
        <f t="shared" si="20"/>
        <v>0</v>
      </c>
      <c r="W45" s="19">
        <f t="shared" si="21"/>
        <v>0</v>
      </c>
      <c r="X45" s="19">
        <f t="shared" si="22"/>
        <v>0</v>
      </c>
      <c r="Y45" s="19">
        <f t="shared" si="23"/>
        <v>0</v>
      </c>
      <c r="Z45" s="20" t="e">
        <f>(T45+U45+(PV(#REF!,'3.6 - Open'!K45,'3.6 - Open'!P45)*-1)+'3.6 - Open'!O45)/'3.6 - Open'!F45</f>
        <v>#REF!</v>
      </c>
      <c r="AA45" s="20" t="e">
        <f t="shared" si="24"/>
        <v>#DIV/0!</v>
      </c>
      <c r="AB45" s="21">
        <f t="shared" si="25"/>
        <v>0</v>
      </c>
      <c r="AC45" s="20">
        <f t="shared" si="26"/>
        <v>0</v>
      </c>
      <c r="AD45" s="20">
        <f t="shared" si="27"/>
        <v>0</v>
      </c>
      <c r="AE45" s="20">
        <f t="shared" si="28"/>
        <v>0</v>
      </c>
      <c r="AF45" s="19">
        <f t="shared" si="29"/>
        <v>0</v>
      </c>
      <c r="AG45" s="19">
        <f t="shared" si="30"/>
        <v>0</v>
      </c>
      <c r="AH45" s="19">
        <f t="shared" si="31"/>
        <v>0</v>
      </c>
      <c r="AI45" s="19">
        <f t="shared" si="32"/>
        <v>0</v>
      </c>
      <c r="AJ45" s="15">
        <v>0</v>
      </c>
      <c r="AK45" s="19">
        <f t="shared" si="15"/>
        <v>0</v>
      </c>
      <c r="AL45" s="19">
        <f t="shared" si="16"/>
        <v>0</v>
      </c>
      <c r="AM45" s="19">
        <f t="shared" si="33"/>
        <v>0</v>
      </c>
      <c r="AN45" s="19" t="e">
        <f t="shared" si="34"/>
        <v>#DIV/0!</v>
      </c>
      <c r="AO45" s="19" t="e">
        <f t="shared" si="17"/>
        <v>#DIV/0!</v>
      </c>
      <c r="AP45" s="18" t="e">
        <f>-PV(#REF!,'3.6 - Open'!K45,'3.6 - Open'!P45)*'3.6 - Open'!B45</f>
        <v>#REF!</v>
      </c>
      <c r="AQ45" s="19" t="e">
        <f t="shared" si="18"/>
        <v>#REF!</v>
      </c>
      <c r="AR45" s="19" t="e">
        <f t="shared" si="19"/>
        <v>#REF!</v>
      </c>
      <c r="AS45" s="18" t="e">
        <f>B45*H45*K45*#REF!</f>
        <v>#REF!</v>
      </c>
      <c r="AT45" s="19" t="e">
        <f>B45*J45*K45*#REF!</f>
        <v>#REF!</v>
      </c>
      <c r="AU45" s="6"/>
      <c r="AV45" s="6"/>
      <c r="AW45" s="6"/>
      <c r="AX45" s="6"/>
      <c r="AY45" s="6"/>
    </row>
    <row r="46" spans="1:51" x14ac:dyDescent="0.25">
      <c r="A46" s="14"/>
      <c r="B46" s="14"/>
      <c r="C46" s="15"/>
      <c r="D46" s="14"/>
      <c r="E46" s="14" t="s">
        <v>24</v>
      </c>
      <c r="F46" s="15"/>
      <c r="G46" s="15"/>
      <c r="H46" s="14"/>
      <c r="I46" s="15"/>
      <c r="J46" s="14"/>
      <c r="K46" s="14"/>
      <c r="L46" s="15"/>
      <c r="M46" s="15"/>
      <c r="N46" s="15"/>
      <c r="O46" s="15"/>
      <c r="P46" s="15"/>
      <c r="Q46" s="15"/>
      <c r="R46" s="15"/>
      <c r="S46" s="15"/>
      <c r="T46" s="18">
        <f>IF(D46="Res Space Heat",VLOOKUP(K46,#REF!,4)*H46,IF(D46="Res AC",VLOOKUP(K46,#REF!,6)*H46,IF(D46="Res Lighting",VLOOKUP(K46,#REF!,8)*H46,IF(D46="Res Refrigeration",VLOOKUP(K46,#REF!,10)*H46,IF(D46="Res Water Heating",VLOOKUP(K46,#REF!,12)*H46,IF(D46="Res Dishwasher",VLOOKUP(K46,#REF!,14)*H46,IF(D46="Res Washer Dryer",VLOOKUP(K46,#REF!,16)*H46,IF(D46="Res Misc",VLOOKUP(K46,#REF!,18)*H46,IF(D46="Res Furnace Fan",VLOOKUP(K46,#REF!,20)*H46,IF(D46="NonRes Compressed Air",VLOOKUP(K46,#REF!,22)*H46,IF(D46="NonRes Cooking",VLOOKUP(K46,#REF!,24)*H46,IF(D46="NonRes Space Cooling",VLOOKUP(K46,#REF!,26)*H46,IF(D46="NonRes Exterior Lighting",VLOOKUP(K46,#REF!,28)*H46,IF(D46="NonRes Space Heating",VLOOKUP(K46,#REF!,30)*H46,IF(D46="NonRes Water Heating",VLOOKUP(K46,#REF!,32)*H46,IF(D46="NonRes Interior Lighting",VLOOKUP(K46,#REF!,34)*H46,IF(D46="NonRes Misc",VLOOKUP(K46,#REF!,36)*H46,IF(D46="NonRes Motors",VLOOKUP(K46,#REF!,38)*H46,IF(D46="NonRes Office Equipment",VLOOKUP(K46,#REF!,40)*H46,IF(D46="NonRes Process",VLOOKUP(K46,#REF!,42)*H46,IF(D46="NonRes Refrigeration",VLOOKUP(K46,#REF!,44)*H46,IF(D46="NonRes Ventilation",VLOOKUP(K46,#REF!,46)*H46,0))))))))))))))))))))))</f>
        <v>0</v>
      </c>
      <c r="U46" s="18">
        <f>IF(E46="Annual",VLOOKUP(K46,#REF!,4)*'3.6 - Open'!J46,IF(E46="Winter",VLOOKUP('3.6 - Open'!K46,#REF!,5)*'3.6 - Open'!J46,IF(E46="NA",0,0)))</f>
        <v>0</v>
      </c>
      <c r="V46" s="19">
        <f t="shared" si="20"/>
        <v>0</v>
      </c>
      <c r="W46" s="19">
        <f t="shared" si="21"/>
        <v>0</v>
      </c>
      <c r="X46" s="19">
        <f t="shared" si="22"/>
        <v>0</v>
      </c>
      <c r="Y46" s="19">
        <f t="shared" si="23"/>
        <v>0</v>
      </c>
      <c r="Z46" s="20" t="e">
        <f>(T46+U46+(PV(#REF!,'3.6 - Open'!K46,'3.6 - Open'!P46)*-1)+'3.6 - Open'!O46)/'3.6 - Open'!F46</f>
        <v>#REF!</v>
      </c>
      <c r="AA46" s="20" t="e">
        <f t="shared" si="24"/>
        <v>#DIV/0!</v>
      </c>
      <c r="AB46" s="21">
        <f t="shared" si="25"/>
        <v>0</v>
      </c>
      <c r="AC46" s="20">
        <f t="shared" si="26"/>
        <v>0</v>
      </c>
      <c r="AD46" s="20">
        <f t="shared" si="27"/>
        <v>0</v>
      </c>
      <c r="AE46" s="20">
        <f t="shared" si="28"/>
        <v>0</v>
      </c>
      <c r="AF46" s="19">
        <f t="shared" si="29"/>
        <v>0</v>
      </c>
      <c r="AG46" s="19">
        <f t="shared" si="30"/>
        <v>0</v>
      </c>
      <c r="AH46" s="19">
        <f t="shared" si="31"/>
        <v>0</v>
      </c>
      <c r="AI46" s="19">
        <f t="shared" si="32"/>
        <v>0</v>
      </c>
      <c r="AJ46" s="15">
        <v>0</v>
      </c>
      <c r="AK46" s="19">
        <f t="shared" si="15"/>
        <v>0</v>
      </c>
      <c r="AL46" s="19">
        <f t="shared" si="16"/>
        <v>0</v>
      </c>
      <c r="AM46" s="19">
        <f t="shared" si="33"/>
        <v>0</v>
      </c>
      <c r="AN46" s="19" t="e">
        <f t="shared" si="34"/>
        <v>#DIV/0!</v>
      </c>
      <c r="AO46" s="19" t="e">
        <f t="shared" si="17"/>
        <v>#DIV/0!</v>
      </c>
      <c r="AP46" s="18" t="e">
        <f>-PV(#REF!,'3.6 - Open'!K46,'3.6 - Open'!P46)*'3.6 - Open'!B46</f>
        <v>#REF!</v>
      </c>
      <c r="AQ46" s="19" t="e">
        <f t="shared" si="18"/>
        <v>#REF!</v>
      </c>
      <c r="AR46" s="19" t="e">
        <f t="shared" si="19"/>
        <v>#REF!</v>
      </c>
      <c r="AS46" s="18" t="e">
        <f>B46*H46*K46*#REF!</f>
        <v>#REF!</v>
      </c>
      <c r="AT46" s="19" t="e">
        <f>B46*J46*K46*#REF!</f>
        <v>#REF!</v>
      </c>
      <c r="AU46" s="6"/>
      <c r="AV46" s="6"/>
      <c r="AW46" s="6"/>
      <c r="AX46" s="6"/>
      <c r="AY46" s="6"/>
    </row>
    <row r="47" spans="1:51" x14ac:dyDescent="0.25">
      <c r="A47" s="14"/>
      <c r="B47" s="14"/>
      <c r="C47" s="15"/>
      <c r="D47" s="14"/>
      <c r="E47" s="14" t="s">
        <v>24</v>
      </c>
      <c r="F47" s="15"/>
      <c r="G47" s="15"/>
      <c r="H47" s="14"/>
      <c r="I47" s="15"/>
      <c r="J47" s="14"/>
      <c r="K47" s="14"/>
      <c r="L47" s="15"/>
      <c r="M47" s="15"/>
      <c r="N47" s="15"/>
      <c r="O47" s="15"/>
      <c r="P47" s="15"/>
      <c r="Q47" s="15"/>
      <c r="R47" s="15"/>
      <c r="S47" s="15"/>
      <c r="T47" s="18">
        <f>IF(D47="Res Space Heat",VLOOKUP(K47,#REF!,4)*H47,IF(D47="Res AC",VLOOKUP(K47,#REF!,6)*H47,IF(D47="Res Lighting",VLOOKUP(K47,#REF!,8)*H47,IF(D47="Res Refrigeration",VLOOKUP(K47,#REF!,10)*H47,IF(D47="Res Water Heating",VLOOKUP(K47,#REF!,12)*H47,IF(D47="Res Dishwasher",VLOOKUP(K47,#REF!,14)*H47,IF(D47="Res Washer Dryer",VLOOKUP(K47,#REF!,16)*H47,IF(D47="Res Misc",VLOOKUP(K47,#REF!,18)*H47,IF(D47="Res Furnace Fan",VLOOKUP(K47,#REF!,20)*H47,IF(D47="NonRes Compressed Air",VLOOKUP(K47,#REF!,22)*H47,IF(D47="NonRes Cooking",VLOOKUP(K47,#REF!,24)*H47,IF(D47="NonRes Space Cooling",VLOOKUP(K47,#REF!,26)*H47,IF(D47="NonRes Exterior Lighting",VLOOKUP(K47,#REF!,28)*H47,IF(D47="NonRes Space Heating",VLOOKUP(K47,#REF!,30)*H47,IF(D47="NonRes Water Heating",VLOOKUP(K47,#REF!,32)*H47,IF(D47="NonRes Interior Lighting",VLOOKUP(K47,#REF!,34)*H47,IF(D47="NonRes Misc",VLOOKUP(K47,#REF!,36)*H47,IF(D47="NonRes Motors",VLOOKUP(K47,#REF!,38)*H47,IF(D47="NonRes Office Equipment",VLOOKUP(K47,#REF!,40)*H47,IF(D47="NonRes Process",VLOOKUP(K47,#REF!,42)*H47,IF(D47="NonRes Refrigeration",VLOOKUP(K47,#REF!,44)*H47,IF(D47="NonRes Ventilation",VLOOKUP(K47,#REF!,46)*H47,0))))))))))))))))))))))</f>
        <v>0</v>
      </c>
      <c r="U47" s="18">
        <f>IF(E47="Annual",VLOOKUP(K47,#REF!,4)*'3.6 - Open'!J47,IF(E47="Winter",VLOOKUP('3.6 - Open'!K47,#REF!,5)*'3.6 - Open'!J47,IF(E47="NA",0,0)))</f>
        <v>0</v>
      </c>
      <c r="V47" s="19">
        <f t="shared" si="20"/>
        <v>0</v>
      </c>
      <c r="W47" s="19">
        <f t="shared" si="21"/>
        <v>0</v>
      </c>
      <c r="X47" s="19">
        <f t="shared" si="22"/>
        <v>0</v>
      </c>
      <c r="Y47" s="19">
        <f t="shared" si="23"/>
        <v>0</v>
      </c>
      <c r="Z47" s="20" t="e">
        <f>(T47+U47+(PV(#REF!,'3.6 - Open'!K47,'3.6 - Open'!P47)*-1)+'3.6 - Open'!O47)/'3.6 - Open'!F47</f>
        <v>#REF!</v>
      </c>
      <c r="AA47" s="20" t="e">
        <f t="shared" si="24"/>
        <v>#DIV/0!</v>
      </c>
      <c r="AB47" s="21">
        <f t="shared" si="25"/>
        <v>0</v>
      </c>
      <c r="AC47" s="20">
        <f t="shared" si="26"/>
        <v>0</v>
      </c>
      <c r="AD47" s="20">
        <f t="shared" si="27"/>
        <v>0</v>
      </c>
      <c r="AE47" s="20">
        <f t="shared" si="28"/>
        <v>0</v>
      </c>
      <c r="AF47" s="19">
        <f t="shared" si="29"/>
        <v>0</v>
      </c>
      <c r="AG47" s="19">
        <f t="shared" si="30"/>
        <v>0</v>
      </c>
      <c r="AH47" s="19">
        <f t="shared" si="31"/>
        <v>0</v>
      </c>
      <c r="AI47" s="19">
        <f t="shared" si="32"/>
        <v>0</v>
      </c>
      <c r="AJ47" s="15">
        <v>0</v>
      </c>
      <c r="AK47" s="19">
        <f t="shared" si="15"/>
        <v>0</v>
      </c>
      <c r="AL47" s="19">
        <f t="shared" si="16"/>
        <v>0</v>
      </c>
      <c r="AM47" s="19">
        <f t="shared" si="33"/>
        <v>0</v>
      </c>
      <c r="AN47" s="19" t="e">
        <f t="shared" si="34"/>
        <v>#DIV/0!</v>
      </c>
      <c r="AO47" s="19" t="e">
        <f t="shared" si="17"/>
        <v>#DIV/0!</v>
      </c>
      <c r="AP47" s="18" t="e">
        <f>-PV(#REF!,'3.6 - Open'!K47,'3.6 - Open'!P47)*'3.6 - Open'!B47</f>
        <v>#REF!</v>
      </c>
      <c r="AQ47" s="19" t="e">
        <f t="shared" si="18"/>
        <v>#REF!</v>
      </c>
      <c r="AR47" s="19" t="e">
        <f t="shared" si="19"/>
        <v>#REF!</v>
      </c>
      <c r="AS47" s="18" t="e">
        <f>B47*H47*K47*#REF!</f>
        <v>#REF!</v>
      </c>
      <c r="AT47" s="19" t="e">
        <f>B47*J47*K47*#REF!</f>
        <v>#REF!</v>
      </c>
      <c r="AU47" s="6"/>
      <c r="AV47" s="6"/>
      <c r="AW47" s="6"/>
      <c r="AX47" s="6"/>
      <c r="AY47" s="6"/>
    </row>
    <row r="48" spans="1:51" x14ac:dyDescent="0.25">
      <c r="A48" s="14"/>
      <c r="B48" s="14"/>
      <c r="C48" s="15"/>
      <c r="D48" s="14"/>
      <c r="E48" s="14" t="s">
        <v>24</v>
      </c>
      <c r="F48" s="15"/>
      <c r="G48" s="15"/>
      <c r="H48" s="14"/>
      <c r="I48" s="15"/>
      <c r="J48" s="14"/>
      <c r="K48" s="14"/>
      <c r="L48" s="15"/>
      <c r="M48" s="15"/>
      <c r="N48" s="15"/>
      <c r="O48" s="15"/>
      <c r="P48" s="15"/>
      <c r="Q48" s="15"/>
      <c r="R48" s="15"/>
      <c r="S48" s="15"/>
      <c r="T48" s="18">
        <f>IF(D48="Res Space Heat",VLOOKUP(K48,#REF!,4)*H48,IF(D48="Res AC",VLOOKUP(K48,#REF!,6)*H48,IF(D48="Res Lighting",VLOOKUP(K48,#REF!,8)*H48,IF(D48="Res Refrigeration",VLOOKUP(K48,#REF!,10)*H48,IF(D48="Res Water Heating",VLOOKUP(K48,#REF!,12)*H48,IF(D48="Res Dishwasher",VLOOKUP(K48,#REF!,14)*H48,IF(D48="Res Washer Dryer",VLOOKUP(K48,#REF!,16)*H48,IF(D48="Res Misc",VLOOKUP(K48,#REF!,18)*H48,IF(D48="Res Furnace Fan",VLOOKUP(K48,#REF!,20)*H48,IF(D48="NonRes Compressed Air",VLOOKUP(K48,#REF!,22)*H48,IF(D48="NonRes Cooking",VLOOKUP(K48,#REF!,24)*H48,IF(D48="NonRes Space Cooling",VLOOKUP(K48,#REF!,26)*H48,IF(D48="NonRes Exterior Lighting",VLOOKUP(K48,#REF!,28)*H48,IF(D48="NonRes Space Heating",VLOOKUP(K48,#REF!,30)*H48,IF(D48="NonRes Water Heating",VLOOKUP(K48,#REF!,32)*H48,IF(D48="NonRes Interior Lighting",VLOOKUP(K48,#REF!,34)*H48,IF(D48="NonRes Misc",VLOOKUP(K48,#REF!,36)*H48,IF(D48="NonRes Motors",VLOOKUP(K48,#REF!,38)*H48,IF(D48="NonRes Office Equipment",VLOOKUP(K48,#REF!,40)*H48,IF(D48="NonRes Process",VLOOKUP(K48,#REF!,42)*H48,IF(D48="NonRes Refrigeration",VLOOKUP(K48,#REF!,44)*H48,IF(D48="NonRes Ventilation",VLOOKUP(K48,#REF!,46)*H48,0))))))))))))))))))))))</f>
        <v>0</v>
      </c>
      <c r="U48" s="18">
        <f>IF(E48="Annual",VLOOKUP(K48,#REF!,4)*'3.6 - Open'!J48,IF(E48="Winter",VLOOKUP('3.6 - Open'!K48,#REF!,5)*'3.6 - Open'!J48,IF(E48="NA",0,0)))</f>
        <v>0</v>
      </c>
      <c r="V48" s="19">
        <f t="shared" si="20"/>
        <v>0</v>
      </c>
      <c r="W48" s="19">
        <f t="shared" si="21"/>
        <v>0</v>
      </c>
      <c r="X48" s="19">
        <f t="shared" si="22"/>
        <v>0</v>
      </c>
      <c r="Y48" s="19">
        <f t="shared" si="23"/>
        <v>0</v>
      </c>
      <c r="Z48" s="20" t="e">
        <f>(T48+U48+(PV(#REF!,'3.6 - Open'!K48,'3.6 - Open'!P48)*-1)+'3.6 - Open'!O48)/'3.6 - Open'!F48</f>
        <v>#REF!</v>
      </c>
      <c r="AA48" s="20" t="e">
        <f t="shared" si="24"/>
        <v>#DIV/0!</v>
      </c>
      <c r="AB48" s="21">
        <f t="shared" si="25"/>
        <v>0</v>
      </c>
      <c r="AC48" s="20">
        <f t="shared" si="26"/>
        <v>0</v>
      </c>
      <c r="AD48" s="20">
        <f t="shared" si="27"/>
        <v>0</v>
      </c>
      <c r="AE48" s="20">
        <f t="shared" si="28"/>
        <v>0</v>
      </c>
      <c r="AF48" s="19">
        <f t="shared" si="29"/>
        <v>0</v>
      </c>
      <c r="AG48" s="19">
        <f t="shared" si="30"/>
        <v>0</v>
      </c>
      <c r="AH48" s="19">
        <f t="shared" si="31"/>
        <v>0</v>
      </c>
      <c r="AI48" s="19">
        <f t="shared" si="32"/>
        <v>0</v>
      </c>
      <c r="AJ48" s="15">
        <v>0</v>
      </c>
      <c r="AK48" s="19">
        <f t="shared" si="15"/>
        <v>0</v>
      </c>
      <c r="AL48" s="19">
        <f t="shared" si="16"/>
        <v>0</v>
      </c>
      <c r="AM48" s="19">
        <f t="shared" si="33"/>
        <v>0</v>
      </c>
      <c r="AN48" s="19" t="e">
        <f t="shared" si="34"/>
        <v>#DIV/0!</v>
      </c>
      <c r="AO48" s="19" t="e">
        <f t="shared" si="17"/>
        <v>#DIV/0!</v>
      </c>
      <c r="AP48" s="18" t="e">
        <f>-PV(#REF!,'3.6 - Open'!K48,'3.6 - Open'!P48)*'3.6 - Open'!B48</f>
        <v>#REF!</v>
      </c>
      <c r="AQ48" s="19" t="e">
        <f t="shared" si="18"/>
        <v>#REF!</v>
      </c>
      <c r="AR48" s="19" t="e">
        <f t="shared" si="19"/>
        <v>#REF!</v>
      </c>
      <c r="AS48" s="18" t="e">
        <f>B48*H48*K48*#REF!</f>
        <v>#REF!</v>
      </c>
      <c r="AT48" s="19" t="e">
        <f>B48*J48*K48*#REF!</f>
        <v>#REF!</v>
      </c>
      <c r="AU48" s="6"/>
      <c r="AV48" s="6"/>
      <c r="AW48" s="6"/>
      <c r="AX48" s="6"/>
      <c r="AY48" s="6"/>
    </row>
    <row r="49" spans="1:51" x14ac:dyDescent="0.25">
      <c r="A49" s="14"/>
      <c r="B49" s="14"/>
      <c r="C49" s="15"/>
      <c r="D49" s="14"/>
      <c r="E49" s="14" t="s">
        <v>24</v>
      </c>
      <c r="F49" s="15"/>
      <c r="G49" s="15"/>
      <c r="H49" s="14"/>
      <c r="I49" s="15"/>
      <c r="J49" s="14"/>
      <c r="K49" s="14"/>
      <c r="L49" s="15"/>
      <c r="M49" s="15"/>
      <c r="N49" s="15"/>
      <c r="O49" s="15"/>
      <c r="P49" s="15"/>
      <c r="Q49" s="15"/>
      <c r="R49" s="15"/>
      <c r="S49" s="15"/>
      <c r="T49" s="18">
        <f>IF(D49="Res Space Heat",VLOOKUP(K49,#REF!,4)*H49,IF(D49="Res AC",VLOOKUP(K49,#REF!,6)*H49,IF(D49="Res Lighting",VLOOKUP(K49,#REF!,8)*H49,IF(D49="Res Refrigeration",VLOOKUP(K49,#REF!,10)*H49,IF(D49="Res Water Heating",VLOOKUP(K49,#REF!,12)*H49,IF(D49="Res Dishwasher",VLOOKUP(K49,#REF!,14)*H49,IF(D49="Res Washer Dryer",VLOOKUP(K49,#REF!,16)*H49,IF(D49="Res Misc",VLOOKUP(K49,#REF!,18)*H49,IF(D49="Res Furnace Fan",VLOOKUP(K49,#REF!,20)*H49,IF(D49="NonRes Compressed Air",VLOOKUP(K49,#REF!,22)*H49,IF(D49="NonRes Cooking",VLOOKUP(K49,#REF!,24)*H49,IF(D49="NonRes Space Cooling",VLOOKUP(K49,#REF!,26)*H49,IF(D49="NonRes Exterior Lighting",VLOOKUP(K49,#REF!,28)*H49,IF(D49="NonRes Space Heating",VLOOKUP(K49,#REF!,30)*H49,IF(D49="NonRes Water Heating",VLOOKUP(K49,#REF!,32)*H49,IF(D49="NonRes Interior Lighting",VLOOKUP(K49,#REF!,34)*H49,IF(D49="NonRes Misc",VLOOKUP(K49,#REF!,36)*H49,IF(D49="NonRes Motors",VLOOKUP(K49,#REF!,38)*H49,IF(D49="NonRes Office Equipment",VLOOKUP(K49,#REF!,40)*H49,IF(D49="NonRes Process",VLOOKUP(K49,#REF!,42)*H49,IF(D49="NonRes Refrigeration",VLOOKUP(K49,#REF!,44)*H49,IF(D49="NonRes Ventilation",VLOOKUP(K49,#REF!,46)*H49,0))))))))))))))))))))))</f>
        <v>0</v>
      </c>
      <c r="U49" s="18">
        <f>IF(E49="Annual",VLOOKUP(K49,#REF!,4)*'3.6 - Open'!J49,IF(E49="Winter",VLOOKUP('3.6 - Open'!K49,#REF!,5)*'3.6 - Open'!J49,IF(E49="NA",0,0)))</f>
        <v>0</v>
      </c>
      <c r="V49" s="19">
        <f t="shared" si="20"/>
        <v>0</v>
      </c>
      <c r="W49" s="19">
        <f t="shared" si="21"/>
        <v>0</v>
      </c>
      <c r="X49" s="19">
        <f t="shared" si="22"/>
        <v>0</v>
      </c>
      <c r="Y49" s="19">
        <f t="shared" si="23"/>
        <v>0</v>
      </c>
      <c r="Z49" s="20" t="e">
        <f>(T49+U49+(PV(#REF!,'3.6 - Open'!K49,'3.6 - Open'!P49)*-1)+'3.6 - Open'!O49)/'3.6 - Open'!F49</f>
        <v>#REF!</v>
      </c>
      <c r="AA49" s="20" t="e">
        <f t="shared" si="24"/>
        <v>#DIV/0!</v>
      </c>
      <c r="AB49" s="21">
        <f t="shared" si="25"/>
        <v>0</v>
      </c>
      <c r="AC49" s="20">
        <f t="shared" si="26"/>
        <v>0</v>
      </c>
      <c r="AD49" s="20">
        <f t="shared" si="27"/>
        <v>0</v>
      </c>
      <c r="AE49" s="20">
        <f t="shared" si="28"/>
        <v>0</v>
      </c>
      <c r="AF49" s="19">
        <f t="shared" si="29"/>
        <v>0</v>
      </c>
      <c r="AG49" s="19">
        <f t="shared" si="30"/>
        <v>0</v>
      </c>
      <c r="AH49" s="19">
        <f t="shared" si="31"/>
        <v>0</v>
      </c>
      <c r="AI49" s="19">
        <f t="shared" si="32"/>
        <v>0</v>
      </c>
      <c r="AJ49" s="15">
        <v>0</v>
      </c>
      <c r="AK49" s="19">
        <f t="shared" si="15"/>
        <v>0</v>
      </c>
      <c r="AL49" s="19">
        <f t="shared" si="16"/>
        <v>0</v>
      </c>
      <c r="AM49" s="19">
        <f t="shared" si="33"/>
        <v>0</v>
      </c>
      <c r="AN49" s="19" t="e">
        <f t="shared" si="34"/>
        <v>#DIV/0!</v>
      </c>
      <c r="AO49" s="19" t="e">
        <f t="shared" si="17"/>
        <v>#DIV/0!</v>
      </c>
      <c r="AP49" s="18" t="e">
        <f>-PV(#REF!,'3.6 - Open'!K49,'3.6 - Open'!P49)*'3.6 - Open'!B49</f>
        <v>#REF!</v>
      </c>
      <c r="AQ49" s="19" t="e">
        <f t="shared" si="18"/>
        <v>#REF!</v>
      </c>
      <c r="AR49" s="19" t="e">
        <f t="shared" si="19"/>
        <v>#REF!</v>
      </c>
      <c r="AS49" s="18" t="e">
        <f>B49*H49*K49*#REF!</f>
        <v>#REF!</v>
      </c>
      <c r="AT49" s="19" t="e">
        <f>B49*J49*K49*#REF!</f>
        <v>#REF!</v>
      </c>
      <c r="AU49" s="6"/>
      <c r="AV49" s="6"/>
      <c r="AW49" s="6"/>
      <c r="AX49" s="6"/>
      <c r="AY49" s="6"/>
    </row>
    <row r="50" spans="1:51" x14ac:dyDescent="0.25">
      <c r="A50" s="14"/>
      <c r="B50" s="14"/>
      <c r="C50" s="15"/>
      <c r="D50" s="14"/>
      <c r="E50" s="14" t="s">
        <v>24</v>
      </c>
      <c r="F50" s="15"/>
      <c r="G50" s="15"/>
      <c r="H50" s="14"/>
      <c r="I50" s="15"/>
      <c r="J50" s="14"/>
      <c r="K50" s="14"/>
      <c r="L50" s="15"/>
      <c r="M50" s="15"/>
      <c r="N50" s="15"/>
      <c r="O50" s="15"/>
      <c r="P50" s="15"/>
      <c r="Q50" s="15"/>
      <c r="R50" s="15"/>
      <c r="S50" s="15"/>
      <c r="T50" s="18">
        <f>IF(D50="Res Space Heat",VLOOKUP(K50,#REF!,4)*H50,IF(D50="Res AC",VLOOKUP(K50,#REF!,6)*H50,IF(D50="Res Lighting",VLOOKUP(K50,#REF!,8)*H50,IF(D50="Res Refrigeration",VLOOKUP(K50,#REF!,10)*H50,IF(D50="Res Water Heating",VLOOKUP(K50,#REF!,12)*H50,IF(D50="Res Dishwasher",VLOOKUP(K50,#REF!,14)*H50,IF(D50="Res Washer Dryer",VLOOKUP(K50,#REF!,16)*H50,IF(D50="Res Misc",VLOOKUP(K50,#REF!,18)*H50,IF(D50="Res Furnace Fan",VLOOKUP(K50,#REF!,20)*H50,IF(D50="NonRes Compressed Air",VLOOKUP(K50,#REF!,22)*H50,IF(D50="NonRes Cooking",VLOOKUP(K50,#REF!,24)*H50,IF(D50="NonRes Space Cooling",VLOOKUP(K50,#REF!,26)*H50,IF(D50="NonRes Exterior Lighting",VLOOKUP(K50,#REF!,28)*H50,IF(D50="NonRes Space Heating",VLOOKUP(K50,#REF!,30)*H50,IF(D50="NonRes Water Heating",VLOOKUP(K50,#REF!,32)*H50,IF(D50="NonRes Interior Lighting",VLOOKUP(K50,#REF!,34)*H50,IF(D50="NonRes Misc",VLOOKUP(K50,#REF!,36)*H50,IF(D50="NonRes Motors",VLOOKUP(K50,#REF!,38)*H50,IF(D50="NonRes Office Equipment",VLOOKUP(K50,#REF!,40)*H50,IF(D50="NonRes Process",VLOOKUP(K50,#REF!,42)*H50,IF(D50="NonRes Refrigeration",VLOOKUP(K50,#REF!,44)*H50,IF(D50="NonRes Ventilation",VLOOKUP(K50,#REF!,46)*H50,0))))))))))))))))))))))</f>
        <v>0</v>
      </c>
      <c r="U50" s="18">
        <f>IF(E50="Annual",VLOOKUP(K50,#REF!,4)*'3.6 - Open'!J50,IF(E50="Winter",VLOOKUP('3.6 - Open'!K50,#REF!,5)*'3.6 - Open'!J50,IF(E50="NA",0,0)))</f>
        <v>0</v>
      </c>
      <c r="V50" s="19">
        <f t="shared" si="20"/>
        <v>0</v>
      </c>
      <c r="W50" s="19">
        <f t="shared" si="21"/>
        <v>0</v>
      </c>
      <c r="X50" s="19">
        <f t="shared" si="22"/>
        <v>0</v>
      </c>
      <c r="Y50" s="19">
        <f t="shared" si="23"/>
        <v>0</v>
      </c>
      <c r="Z50" s="20" t="e">
        <f>(T50+U50+(PV(#REF!,'3.6 - Open'!K50,'3.6 - Open'!P50)*-1)+'3.6 - Open'!O50)/'3.6 - Open'!F50</f>
        <v>#REF!</v>
      </c>
      <c r="AA50" s="20" t="e">
        <f t="shared" si="24"/>
        <v>#DIV/0!</v>
      </c>
      <c r="AB50" s="21">
        <f t="shared" si="25"/>
        <v>0</v>
      </c>
      <c r="AC50" s="20">
        <f t="shared" si="26"/>
        <v>0</v>
      </c>
      <c r="AD50" s="20">
        <f t="shared" si="27"/>
        <v>0</v>
      </c>
      <c r="AE50" s="20">
        <f t="shared" si="28"/>
        <v>0</v>
      </c>
      <c r="AF50" s="19">
        <f t="shared" si="29"/>
        <v>0</v>
      </c>
      <c r="AG50" s="19">
        <f t="shared" si="30"/>
        <v>0</v>
      </c>
      <c r="AH50" s="19">
        <f t="shared" si="31"/>
        <v>0</v>
      </c>
      <c r="AI50" s="19">
        <f t="shared" si="32"/>
        <v>0</v>
      </c>
      <c r="AJ50" s="15">
        <v>0</v>
      </c>
      <c r="AK50" s="19">
        <f t="shared" si="15"/>
        <v>0</v>
      </c>
      <c r="AL50" s="19">
        <f t="shared" si="16"/>
        <v>0</v>
      </c>
      <c r="AM50" s="19">
        <f t="shared" si="33"/>
        <v>0</v>
      </c>
      <c r="AN50" s="19" t="e">
        <f t="shared" si="34"/>
        <v>#DIV/0!</v>
      </c>
      <c r="AO50" s="19" t="e">
        <f t="shared" si="17"/>
        <v>#DIV/0!</v>
      </c>
      <c r="AP50" s="18" t="e">
        <f>-PV(#REF!,'3.6 - Open'!K50,'3.6 - Open'!P50)*'3.6 - Open'!B50</f>
        <v>#REF!</v>
      </c>
      <c r="AQ50" s="19" t="e">
        <f t="shared" si="18"/>
        <v>#REF!</v>
      </c>
      <c r="AR50" s="19" t="e">
        <f t="shared" si="19"/>
        <v>#REF!</v>
      </c>
      <c r="AS50" s="18" t="e">
        <f>B50*H50*K50*#REF!</f>
        <v>#REF!</v>
      </c>
      <c r="AT50" s="19" t="e">
        <f>B50*J50*K50*#REF!</f>
        <v>#REF!</v>
      </c>
      <c r="AU50" s="6"/>
      <c r="AV50" s="6"/>
      <c r="AW50" s="6"/>
      <c r="AX50" s="6"/>
      <c r="AY50" s="6"/>
    </row>
    <row r="51" spans="1:51" x14ac:dyDescent="0.25">
      <c r="A51" s="14"/>
      <c r="B51" s="14"/>
      <c r="C51" s="15"/>
      <c r="D51" s="14"/>
      <c r="E51" s="14" t="s">
        <v>24</v>
      </c>
      <c r="F51" s="15"/>
      <c r="G51" s="15"/>
      <c r="H51" s="14"/>
      <c r="I51" s="15"/>
      <c r="J51" s="14"/>
      <c r="K51" s="14"/>
      <c r="L51" s="15"/>
      <c r="M51" s="15"/>
      <c r="N51" s="15"/>
      <c r="O51" s="15"/>
      <c r="P51" s="15"/>
      <c r="Q51" s="15"/>
      <c r="R51" s="15"/>
      <c r="S51" s="15"/>
      <c r="T51" s="18">
        <f>IF(D51="Res Space Heat",VLOOKUP(K51,#REF!,4)*H51,IF(D51="Res AC",VLOOKUP(K51,#REF!,6)*H51,IF(D51="Res Lighting",VLOOKUP(K51,#REF!,8)*H51,IF(D51="Res Refrigeration",VLOOKUP(K51,#REF!,10)*H51,IF(D51="Res Water Heating",VLOOKUP(K51,#REF!,12)*H51,IF(D51="Res Dishwasher",VLOOKUP(K51,#REF!,14)*H51,IF(D51="Res Washer Dryer",VLOOKUP(K51,#REF!,16)*H51,IF(D51="Res Misc",VLOOKUP(K51,#REF!,18)*H51,IF(D51="Res Furnace Fan",VLOOKUP(K51,#REF!,20)*H51,IF(D51="NonRes Compressed Air",VLOOKUP(K51,#REF!,22)*H51,IF(D51="NonRes Cooking",VLOOKUP(K51,#REF!,24)*H51,IF(D51="NonRes Space Cooling",VLOOKUP(K51,#REF!,26)*H51,IF(D51="NonRes Exterior Lighting",VLOOKUP(K51,#REF!,28)*H51,IF(D51="NonRes Space Heating",VLOOKUP(K51,#REF!,30)*H51,IF(D51="NonRes Water Heating",VLOOKUP(K51,#REF!,32)*H51,IF(D51="NonRes Interior Lighting",VLOOKUP(K51,#REF!,34)*H51,IF(D51="NonRes Misc",VLOOKUP(K51,#REF!,36)*H51,IF(D51="NonRes Motors",VLOOKUP(K51,#REF!,38)*H51,IF(D51="NonRes Office Equipment",VLOOKUP(K51,#REF!,40)*H51,IF(D51="NonRes Process",VLOOKUP(K51,#REF!,42)*H51,IF(D51="NonRes Refrigeration",VLOOKUP(K51,#REF!,44)*H51,IF(D51="NonRes Ventilation",VLOOKUP(K51,#REF!,46)*H51,0))))))))))))))))))))))</f>
        <v>0</v>
      </c>
      <c r="U51" s="18">
        <f>IF(E51="Annual",VLOOKUP(K51,#REF!,4)*'3.6 - Open'!J51,IF(E51="Winter",VLOOKUP('3.6 - Open'!K51,#REF!,5)*'3.6 - Open'!J51,IF(E51="NA",0,0)))</f>
        <v>0</v>
      </c>
      <c r="V51" s="19">
        <f t="shared" si="20"/>
        <v>0</v>
      </c>
      <c r="W51" s="19">
        <f t="shared" si="21"/>
        <v>0</v>
      </c>
      <c r="X51" s="19">
        <f t="shared" si="22"/>
        <v>0</v>
      </c>
      <c r="Y51" s="19">
        <f t="shared" si="23"/>
        <v>0</v>
      </c>
      <c r="Z51" s="20" t="e">
        <f>(T51+U51+(PV(#REF!,'3.6 - Open'!K51,'3.6 - Open'!P51)*-1)+'3.6 - Open'!O51)/'3.6 - Open'!F51</f>
        <v>#REF!</v>
      </c>
      <c r="AA51" s="20" t="e">
        <f t="shared" si="24"/>
        <v>#DIV/0!</v>
      </c>
      <c r="AB51" s="21">
        <f t="shared" si="25"/>
        <v>0</v>
      </c>
      <c r="AC51" s="20">
        <f t="shared" si="26"/>
        <v>0</v>
      </c>
      <c r="AD51" s="20">
        <f t="shared" si="27"/>
        <v>0</v>
      </c>
      <c r="AE51" s="20">
        <f t="shared" si="28"/>
        <v>0</v>
      </c>
      <c r="AF51" s="19">
        <f t="shared" si="29"/>
        <v>0</v>
      </c>
      <c r="AG51" s="19">
        <f t="shared" si="30"/>
        <v>0</v>
      </c>
      <c r="AH51" s="19">
        <f t="shared" si="31"/>
        <v>0</v>
      </c>
      <c r="AI51" s="19">
        <f t="shared" si="32"/>
        <v>0</v>
      </c>
      <c r="AJ51" s="15">
        <v>0</v>
      </c>
      <c r="AK51" s="19">
        <f t="shared" si="15"/>
        <v>0</v>
      </c>
      <c r="AL51" s="19">
        <f t="shared" si="16"/>
        <v>0</v>
      </c>
      <c r="AM51" s="19">
        <f t="shared" si="33"/>
        <v>0</v>
      </c>
      <c r="AN51" s="19" t="e">
        <f t="shared" si="34"/>
        <v>#DIV/0!</v>
      </c>
      <c r="AO51" s="19" t="e">
        <f t="shared" si="17"/>
        <v>#DIV/0!</v>
      </c>
      <c r="AP51" s="18" t="e">
        <f>-PV(#REF!,'3.6 - Open'!K51,'3.6 - Open'!P51)*'3.6 - Open'!B51</f>
        <v>#REF!</v>
      </c>
      <c r="AQ51" s="19" t="e">
        <f t="shared" si="18"/>
        <v>#REF!</v>
      </c>
      <c r="AR51" s="19" t="e">
        <f t="shared" si="19"/>
        <v>#REF!</v>
      </c>
      <c r="AS51" s="18" t="e">
        <f>B51*H51*K51*#REF!</f>
        <v>#REF!</v>
      </c>
      <c r="AT51" s="19" t="e">
        <f>B51*J51*K51*#REF!</f>
        <v>#REF!</v>
      </c>
      <c r="AU51" s="6"/>
      <c r="AV51" s="6"/>
      <c r="AW51" s="6"/>
      <c r="AX51" s="6"/>
      <c r="AY51" s="6"/>
    </row>
    <row r="52" spans="1:51" x14ac:dyDescent="0.25">
      <c r="A52" s="14"/>
      <c r="B52" s="14"/>
      <c r="C52" s="15"/>
      <c r="D52" s="14"/>
      <c r="E52" s="14" t="s">
        <v>24</v>
      </c>
      <c r="F52" s="15"/>
      <c r="G52" s="15"/>
      <c r="H52" s="14"/>
      <c r="I52" s="15"/>
      <c r="J52" s="14"/>
      <c r="K52" s="14"/>
      <c r="L52" s="15"/>
      <c r="M52" s="15"/>
      <c r="N52" s="15"/>
      <c r="O52" s="15"/>
      <c r="P52" s="15"/>
      <c r="Q52" s="15"/>
      <c r="R52" s="15"/>
      <c r="S52" s="15"/>
      <c r="T52" s="18">
        <f>IF(D52="Res Space Heat",VLOOKUP(K52,#REF!,4)*H52,IF(D52="Res AC",VLOOKUP(K52,#REF!,6)*H52,IF(D52="Res Lighting",VLOOKUP(K52,#REF!,8)*H52,IF(D52="Res Refrigeration",VLOOKUP(K52,#REF!,10)*H52,IF(D52="Res Water Heating",VLOOKUP(K52,#REF!,12)*H52,IF(D52="Res Dishwasher",VLOOKUP(K52,#REF!,14)*H52,IF(D52="Res Washer Dryer",VLOOKUP(K52,#REF!,16)*H52,IF(D52="Res Misc",VLOOKUP(K52,#REF!,18)*H52,IF(D52="Res Furnace Fan",VLOOKUP(K52,#REF!,20)*H52,IF(D52="NonRes Compressed Air",VLOOKUP(K52,#REF!,22)*H52,IF(D52="NonRes Cooking",VLOOKUP(K52,#REF!,24)*H52,IF(D52="NonRes Space Cooling",VLOOKUP(K52,#REF!,26)*H52,IF(D52="NonRes Exterior Lighting",VLOOKUP(K52,#REF!,28)*H52,IF(D52="NonRes Space Heating",VLOOKUP(K52,#REF!,30)*H52,IF(D52="NonRes Water Heating",VLOOKUP(K52,#REF!,32)*H52,IF(D52="NonRes Interior Lighting",VLOOKUP(K52,#REF!,34)*H52,IF(D52="NonRes Misc",VLOOKUP(K52,#REF!,36)*H52,IF(D52="NonRes Motors",VLOOKUP(K52,#REF!,38)*H52,IF(D52="NonRes Office Equipment",VLOOKUP(K52,#REF!,40)*H52,IF(D52="NonRes Process",VLOOKUP(K52,#REF!,42)*H52,IF(D52="NonRes Refrigeration",VLOOKUP(K52,#REF!,44)*H52,IF(D52="NonRes Ventilation",VLOOKUP(K52,#REF!,46)*H52,0))))))))))))))))))))))</f>
        <v>0</v>
      </c>
      <c r="U52" s="18">
        <f>IF(E52="Annual",VLOOKUP(K52,#REF!,4)*'3.6 - Open'!J52,IF(E52="Winter",VLOOKUP('3.6 - Open'!K52,#REF!,5)*'3.6 - Open'!J52,IF(E52="NA",0,0)))</f>
        <v>0</v>
      </c>
      <c r="V52" s="19">
        <f t="shared" si="20"/>
        <v>0</v>
      </c>
      <c r="W52" s="19">
        <f t="shared" si="21"/>
        <v>0</v>
      </c>
      <c r="X52" s="19">
        <f t="shared" si="22"/>
        <v>0</v>
      </c>
      <c r="Y52" s="19">
        <f t="shared" si="23"/>
        <v>0</v>
      </c>
      <c r="Z52" s="20" t="e">
        <f>(T52+U52+(PV(#REF!,'3.6 - Open'!K52,'3.6 - Open'!P52)*-1)+'3.6 - Open'!O52)/'3.6 - Open'!F52</f>
        <v>#REF!</v>
      </c>
      <c r="AA52" s="20" t="e">
        <f t="shared" si="24"/>
        <v>#DIV/0!</v>
      </c>
      <c r="AB52" s="21">
        <f t="shared" si="25"/>
        <v>0</v>
      </c>
      <c r="AC52" s="20">
        <f t="shared" si="26"/>
        <v>0</v>
      </c>
      <c r="AD52" s="20">
        <f t="shared" si="27"/>
        <v>0</v>
      </c>
      <c r="AE52" s="20">
        <f t="shared" si="28"/>
        <v>0</v>
      </c>
      <c r="AF52" s="19">
        <f t="shared" si="29"/>
        <v>0</v>
      </c>
      <c r="AG52" s="19">
        <f t="shared" si="30"/>
        <v>0</v>
      </c>
      <c r="AH52" s="19">
        <f t="shared" si="31"/>
        <v>0</v>
      </c>
      <c r="AI52" s="19">
        <f t="shared" si="32"/>
        <v>0</v>
      </c>
      <c r="AJ52" s="15">
        <v>0</v>
      </c>
      <c r="AK52" s="19">
        <f t="shared" si="15"/>
        <v>0</v>
      </c>
      <c r="AL52" s="19">
        <f t="shared" si="16"/>
        <v>0</v>
      </c>
      <c r="AM52" s="19">
        <f t="shared" si="33"/>
        <v>0</v>
      </c>
      <c r="AN52" s="19" t="e">
        <f t="shared" si="34"/>
        <v>#DIV/0!</v>
      </c>
      <c r="AO52" s="19" t="e">
        <f t="shared" si="17"/>
        <v>#DIV/0!</v>
      </c>
      <c r="AP52" s="18" t="e">
        <f>-PV(#REF!,'3.6 - Open'!K52,'3.6 - Open'!P52)*'3.6 - Open'!B52</f>
        <v>#REF!</v>
      </c>
      <c r="AQ52" s="19" t="e">
        <f t="shared" si="18"/>
        <v>#REF!</v>
      </c>
      <c r="AR52" s="19" t="e">
        <f t="shared" si="19"/>
        <v>#REF!</v>
      </c>
      <c r="AS52" s="18" t="e">
        <f>B52*H52*K52*#REF!</f>
        <v>#REF!</v>
      </c>
      <c r="AT52" s="19" t="e">
        <f>B52*J52*K52*#REF!</f>
        <v>#REF!</v>
      </c>
      <c r="AU52" s="6"/>
      <c r="AV52" s="6"/>
      <c r="AW52" s="6"/>
      <c r="AX52" s="6"/>
      <c r="AY52" s="6"/>
    </row>
    <row r="53" spans="1:51" x14ac:dyDescent="0.25">
      <c r="A53" s="14"/>
      <c r="B53" s="14"/>
      <c r="C53" s="15"/>
      <c r="D53" s="14"/>
      <c r="E53" s="14" t="s">
        <v>24</v>
      </c>
      <c r="F53" s="15"/>
      <c r="G53" s="15"/>
      <c r="H53" s="14"/>
      <c r="I53" s="15"/>
      <c r="J53" s="14"/>
      <c r="K53" s="14"/>
      <c r="L53" s="15"/>
      <c r="M53" s="15"/>
      <c r="N53" s="15"/>
      <c r="O53" s="15"/>
      <c r="P53" s="15"/>
      <c r="Q53" s="15"/>
      <c r="R53" s="15"/>
      <c r="S53" s="15"/>
      <c r="T53" s="18">
        <f>IF(D53="Res Space Heat",VLOOKUP(K53,#REF!,4)*H53,IF(D53="Res AC",VLOOKUP(K53,#REF!,6)*H53,IF(D53="Res Lighting",VLOOKUP(K53,#REF!,8)*H53,IF(D53="Res Refrigeration",VLOOKUP(K53,#REF!,10)*H53,IF(D53="Res Water Heating",VLOOKUP(K53,#REF!,12)*H53,IF(D53="Res Dishwasher",VLOOKUP(K53,#REF!,14)*H53,IF(D53="Res Washer Dryer",VLOOKUP(K53,#REF!,16)*H53,IF(D53="Res Misc",VLOOKUP(K53,#REF!,18)*H53,IF(D53="Res Furnace Fan",VLOOKUP(K53,#REF!,20)*H53,IF(D53="NonRes Compressed Air",VLOOKUP(K53,#REF!,22)*H53,IF(D53="NonRes Cooking",VLOOKUP(K53,#REF!,24)*H53,IF(D53="NonRes Space Cooling",VLOOKUP(K53,#REF!,26)*H53,IF(D53="NonRes Exterior Lighting",VLOOKUP(K53,#REF!,28)*H53,IF(D53="NonRes Space Heating",VLOOKUP(K53,#REF!,30)*H53,IF(D53="NonRes Water Heating",VLOOKUP(K53,#REF!,32)*H53,IF(D53="NonRes Interior Lighting",VLOOKUP(K53,#REF!,34)*H53,IF(D53="NonRes Misc",VLOOKUP(K53,#REF!,36)*H53,IF(D53="NonRes Motors",VLOOKUP(K53,#REF!,38)*H53,IF(D53="NonRes Office Equipment",VLOOKUP(K53,#REF!,40)*H53,IF(D53="NonRes Process",VLOOKUP(K53,#REF!,42)*H53,IF(D53="NonRes Refrigeration",VLOOKUP(K53,#REF!,44)*H53,IF(D53="NonRes Ventilation",VLOOKUP(K53,#REF!,46)*H53,0))))))))))))))))))))))</f>
        <v>0</v>
      </c>
      <c r="U53" s="18">
        <f>IF(E53="Annual",VLOOKUP(K53,#REF!,4)*'3.6 - Open'!J53,IF(E53="Winter",VLOOKUP('3.6 - Open'!K53,#REF!,5)*'3.6 - Open'!J53,IF(E53="NA",0,0)))</f>
        <v>0</v>
      </c>
      <c r="V53" s="19">
        <f t="shared" si="20"/>
        <v>0</v>
      </c>
      <c r="W53" s="19">
        <f t="shared" si="21"/>
        <v>0</v>
      </c>
      <c r="X53" s="19">
        <f t="shared" si="22"/>
        <v>0</v>
      </c>
      <c r="Y53" s="19">
        <f t="shared" si="23"/>
        <v>0</v>
      </c>
      <c r="Z53" s="20" t="e">
        <f>(T53+U53+(PV(#REF!,'3.6 - Open'!K53,'3.6 - Open'!P53)*-1)+'3.6 - Open'!O53)/'3.6 - Open'!F53</f>
        <v>#REF!</v>
      </c>
      <c r="AA53" s="20" t="e">
        <f t="shared" si="24"/>
        <v>#DIV/0!</v>
      </c>
      <c r="AB53" s="21">
        <f t="shared" si="25"/>
        <v>0</v>
      </c>
      <c r="AC53" s="20">
        <f t="shared" si="26"/>
        <v>0</v>
      </c>
      <c r="AD53" s="20">
        <f t="shared" si="27"/>
        <v>0</v>
      </c>
      <c r="AE53" s="20">
        <f t="shared" si="28"/>
        <v>0</v>
      </c>
      <c r="AF53" s="19">
        <f t="shared" si="29"/>
        <v>0</v>
      </c>
      <c r="AG53" s="19">
        <f t="shared" si="30"/>
        <v>0</v>
      </c>
      <c r="AH53" s="19">
        <f t="shared" si="31"/>
        <v>0</v>
      </c>
      <c r="AI53" s="19">
        <f t="shared" si="32"/>
        <v>0</v>
      </c>
      <c r="AJ53" s="15">
        <v>0</v>
      </c>
      <c r="AK53" s="19">
        <f t="shared" si="15"/>
        <v>0</v>
      </c>
      <c r="AL53" s="19">
        <f t="shared" si="16"/>
        <v>0</v>
      </c>
      <c r="AM53" s="19">
        <f t="shared" si="33"/>
        <v>0</v>
      </c>
      <c r="AN53" s="19" t="e">
        <f t="shared" si="34"/>
        <v>#DIV/0!</v>
      </c>
      <c r="AO53" s="19" t="e">
        <f t="shared" si="17"/>
        <v>#DIV/0!</v>
      </c>
      <c r="AP53" s="18" t="e">
        <f>-PV(#REF!,'3.6 - Open'!K53,'3.6 - Open'!P53)*'3.6 - Open'!B53</f>
        <v>#REF!</v>
      </c>
      <c r="AQ53" s="19" t="e">
        <f t="shared" si="18"/>
        <v>#REF!</v>
      </c>
      <c r="AR53" s="19" t="e">
        <f t="shared" si="19"/>
        <v>#REF!</v>
      </c>
      <c r="AS53" s="18" t="e">
        <f>B53*H53*K53*#REF!</f>
        <v>#REF!</v>
      </c>
      <c r="AT53" s="19" t="e">
        <f>B53*J53*K53*#REF!</f>
        <v>#REF!</v>
      </c>
      <c r="AU53" s="6"/>
      <c r="AV53" s="6"/>
      <c r="AW53" s="6"/>
      <c r="AX53" s="6"/>
      <c r="AY53" s="6"/>
    </row>
    <row r="54" spans="1:51" x14ac:dyDescent="0.25">
      <c r="A54" s="14"/>
      <c r="B54" s="14"/>
      <c r="C54" s="15"/>
      <c r="D54" s="14"/>
      <c r="E54" s="14" t="s">
        <v>24</v>
      </c>
      <c r="F54" s="15"/>
      <c r="G54" s="15"/>
      <c r="H54" s="14"/>
      <c r="I54" s="15"/>
      <c r="J54" s="14"/>
      <c r="K54" s="14"/>
      <c r="L54" s="15"/>
      <c r="M54" s="15"/>
      <c r="N54" s="15"/>
      <c r="O54" s="15"/>
      <c r="P54" s="15"/>
      <c r="Q54" s="15"/>
      <c r="R54" s="15"/>
      <c r="S54" s="15"/>
      <c r="T54" s="18">
        <f>IF(D54="Res Space Heat",VLOOKUP(K54,#REF!,4)*H54,IF(D54="Res AC",VLOOKUP(K54,#REF!,6)*H54,IF(D54="Res Lighting",VLOOKUP(K54,#REF!,8)*H54,IF(D54="Res Refrigeration",VLOOKUP(K54,#REF!,10)*H54,IF(D54="Res Water Heating",VLOOKUP(K54,#REF!,12)*H54,IF(D54="Res Dishwasher",VLOOKUP(K54,#REF!,14)*H54,IF(D54="Res Washer Dryer",VLOOKUP(K54,#REF!,16)*H54,IF(D54="Res Misc",VLOOKUP(K54,#REF!,18)*H54,IF(D54="Res Furnace Fan",VLOOKUP(K54,#REF!,20)*H54,IF(D54="NonRes Compressed Air",VLOOKUP(K54,#REF!,22)*H54,IF(D54="NonRes Cooking",VLOOKUP(K54,#REF!,24)*H54,IF(D54="NonRes Space Cooling",VLOOKUP(K54,#REF!,26)*H54,IF(D54="NonRes Exterior Lighting",VLOOKUP(K54,#REF!,28)*H54,IF(D54="NonRes Space Heating",VLOOKUP(K54,#REF!,30)*H54,IF(D54="NonRes Water Heating",VLOOKUP(K54,#REF!,32)*H54,IF(D54="NonRes Interior Lighting",VLOOKUP(K54,#REF!,34)*H54,IF(D54="NonRes Misc",VLOOKUP(K54,#REF!,36)*H54,IF(D54="NonRes Motors",VLOOKUP(K54,#REF!,38)*H54,IF(D54="NonRes Office Equipment",VLOOKUP(K54,#REF!,40)*H54,IF(D54="NonRes Process",VLOOKUP(K54,#REF!,42)*H54,IF(D54="NonRes Refrigeration",VLOOKUP(K54,#REF!,44)*H54,IF(D54="NonRes Ventilation",VLOOKUP(K54,#REF!,46)*H54,0))))))))))))))))))))))</f>
        <v>0</v>
      </c>
      <c r="U54" s="18">
        <f>IF(E54="Annual",VLOOKUP(K54,#REF!,4)*'3.6 - Open'!J54,IF(E54="Winter",VLOOKUP('3.6 - Open'!K54,#REF!,5)*'3.6 - Open'!J54,IF(E54="NA",0,0)))</f>
        <v>0</v>
      </c>
      <c r="V54" s="19">
        <f t="shared" si="20"/>
        <v>0</v>
      </c>
      <c r="W54" s="19">
        <f t="shared" si="21"/>
        <v>0</v>
      </c>
      <c r="X54" s="19">
        <f t="shared" si="22"/>
        <v>0</v>
      </c>
      <c r="Y54" s="19">
        <f t="shared" si="23"/>
        <v>0</v>
      </c>
      <c r="Z54" s="20" t="e">
        <f>(T54+U54+(PV(#REF!,'3.6 - Open'!K54,'3.6 - Open'!P54)*-1)+'3.6 - Open'!O54)/'3.6 - Open'!F54</f>
        <v>#REF!</v>
      </c>
      <c r="AA54" s="20" t="e">
        <f t="shared" si="24"/>
        <v>#DIV/0!</v>
      </c>
      <c r="AB54" s="21">
        <f t="shared" si="25"/>
        <v>0</v>
      </c>
      <c r="AC54" s="20">
        <f t="shared" si="26"/>
        <v>0</v>
      </c>
      <c r="AD54" s="20">
        <f t="shared" si="27"/>
        <v>0</v>
      </c>
      <c r="AE54" s="20">
        <f t="shared" si="28"/>
        <v>0</v>
      </c>
      <c r="AF54" s="19">
        <f t="shared" si="29"/>
        <v>0</v>
      </c>
      <c r="AG54" s="19">
        <f t="shared" si="30"/>
        <v>0</v>
      </c>
      <c r="AH54" s="19">
        <f t="shared" si="31"/>
        <v>0</v>
      </c>
      <c r="AI54" s="19">
        <f t="shared" si="32"/>
        <v>0</v>
      </c>
      <c r="AJ54" s="15">
        <v>0</v>
      </c>
      <c r="AK54" s="19">
        <f t="shared" si="15"/>
        <v>0</v>
      </c>
      <c r="AL54" s="19">
        <f t="shared" si="16"/>
        <v>0</v>
      </c>
      <c r="AM54" s="19">
        <f t="shared" si="33"/>
        <v>0</v>
      </c>
      <c r="AN54" s="19" t="e">
        <f t="shared" si="34"/>
        <v>#DIV/0!</v>
      </c>
      <c r="AO54" s="19" t="e">
        <f t="shared" si="17"/>
        <v>#DIV/0!</v>
      </c>
      <c r="AP54" s="18" t="e">
        <f>-PV(#REF!,'3.6 - Open'!K54,'3.6 - Open'!P54)*'3.6 - Open'!B54</f>
        <v>#REF!</v>
      </c>
      <c r="AQ54" s="19" t="e">
        <f t="shared" si="18"/>
        <v>#REF!</v>
      </c>
      <c r="AR54" s="19" t="e">
        <f t="shared" si="19"/>
        <v>#REF!</v>
      </c>
      <c r="AS54" s="18" t="e">
        <f>B54*H54*K54*#REF!</f>
        <v>#REF!</v>
      </c>
      <c r="AT54" s="19" t="e">
        <f>B54*J54*K54*#REF!</f>
        <v>#REF!</v>
      </c>
      <c r="AU54" s="6"/>
      <c r="AV54" s="6"/>
      <c r="AW54" s="6"/>
      <c r="AX54" s="6"/>
      <c r="AY54" s="6"/>
    </row>
    <row r="55" spans="1:51" x14ac:dyDescent="0.25">
      <c r="A55" s="14"/>
      <c r="B55" s="14"/>
      <c r="C55" s="15"/>
      <c r="D55" s="14"/>
      <c r="E55" s="14" t="s">
        <v>24</v>
      </c>
      <c r="F55" s="15"/>
      <c r="G55" s="15"/>
      <c r="H55" s="14"/>
      <c r="I55" s="15"/>
      <c r="J55" s="14"/>
      <c r="K55" s="14"/>
      <c r="L55" s="15"/>
      <c r="M55" s="15"/>
      <c r="N55" s="15"/>
      <c r="O55" s="15"/>
      <c r="P55" s="15"/>
      <c r="Q55" s="15"/>
      <c r="R55" s="15"/>
      <c r="S55" s="15"/>
      <c r="T55" s="18">
        <f>IF(D55="Res Space Heat",VLOOKUP(K55,#REF!,4)*H55,IF(D55="Res AC",VLOOKUP(K55,#REF!,6)*H55,IF(D55="Res Lighting",VLOOKUP(K55,#REF!,8)*H55,IF(D55="Res Refrigeration",VLOOKUP(K55,#REF!,10)*H55,IF(D55="Res Water Heating",VLOOKUP(K55,#REF!,12)*H55,IF(D55="Res Dishwasher",VLOOKUP(K55,#REF!,14)*H55,IF(D55="Res Washer Dryer",VLOOKUP(K55,#REF!,16)*H55,IF(D55="Res Misc",VLOOKUP(K55,#REF!,18)*H55,IF(D55="Res Furnace Fan",VLOOKUP(K55,#REF!,20)*H55,IF(D55="NonRes Compressed Air",VLOOKUP(K55,#REF!,22)*H55,IF(D55="NonRes Cooking",VLOOKUP(K55,#REF!,24)*H55,IF(D55="NonRes Space Cooling",VLOOKUP(K55,#REF!,26)*H55,IF(D55="NonRes Exterior Lighting",VLOOKUP(K55,#REF!,28)*H55,IF(D55="NonRes Space Heating",VLOOKUP(K55,#REF!,30)*H55,IF(D55="NonRes Water Heating",VLOOKUP(K55,#REF!,32)*H55,IF(D55="NonRes Interior Lighting",VLOOKUP(K55,#REF!,34)*H55,IF(D55="NonRes Misc",VLOOKUP(K55,#REF!,36)*H55,IF(D55="NonRes Motors",VLOOKUP(K55,#REF!,38)*H55,IF(D55="NonRes Office Equipment",VLOOKUP(K55,#REF!,40)*H55,IF(D55="NonRes Process",VLOOKUP(K55,#REF!,42)*H55,IF(D55="NonRes Refrigeration",VLOOKUP(K55,#REF!,44)*H55,IF(D55="NonRes Ventilation",VLOOKUP(K55,#REF!,46)*H55,0))))))))))))))))))))))</f>
        <v>0</v>
      </c>
      <c r="U55" s="18">
        <f>IF(E55="Annual",VLOOKUP(K55,#REF!,4)*'3.6 - Open'!J55,IF(E55="Winter",VLOOKUP('3.6 - Open'!K55,#REF!,5)*'3.6 - Open'!J55,IF(E55="NA",0,0)))</f>
        <v>0</v>
      </c>
      <c r="V55" s="19">
        <f t="shared" si="20"/>
        <v>0</v>
      </c>
      <c r="W55" s="19">
        <f t="shared" si="21"/>
        <v>0</v>
      </c>
      <c r="X55" s="19">
        <f t="shared" si="22"/>
        <v>0</v>
      </c>
      <c r="Y55" s="19">
        <f t="shared" si="23"/>
        <v>0</v>
      </c>
      <c r="Z55" s="20" t="e">
        <f>(T55+U55+(PV(#REF!,'3.6 - Open'!K55,'3.6 - Open'!P55)*-1)+'3.6 - Open'!O55)/'3.6 - Open'!F55</f>
        <v>#REF!</v>
      </c>
      <c r="AA55" s="20" t="e">
        <f t="shared" si="24"/>
        <v>#DIV/0!</v>
      </c>
      <c r="AB55" s="21">
        <f t="shared" si="25"/>
        <v>0</v>
      </c>
      <c r="AC55" s="20">
        <f t="shared" si="26"/>
        <v>0</v>
      </c>
      <c r="AD55" s="20">
        <f t="shared" si="27"/>
        <v>0</v>
      </c>
      <c r="AE55" s="20">
        <f t="shared" si="28"/>
        <v>0</v>
      </c>
      <c r="AF55" s="19">
        <f t="shared" si="29"/>
        <v>0</v>
      </c>
      <c r="AG55" s="19">
        <f t="shared" si="30"/>
        <v>0</v>
      </c>
      <c r="AH55" s="19">
        <f t="shared" si="31"/>
        <v>0</v>
      </c>
      <c r="AI55" s="19">
        <f t="shared" si="32"/>
        <v>0</v>
      </c>
      <c r="AJ55" s="15">
        <v>0</v>
      </c>
      <c r="AK55" s="19">
        <f t="shared" si="15"/>
        <v>0</v>
      </c>
      <c r="AL55" s="19">
        <f t="shared" si="16"/>
        <v>0</v>
      </c>
      <c r="AM55" s="19">
        <f t="shared" si="33"/>
        <v>0</v>
      </c>
      <c r="AN55" s="19" t="e">
        <f t="shared" si="34"/>
        <v>#DIV/0!</v>
      </c>
      <c r="AO55" s="19" t="e">
        <f t="shared" si="17"/>
        <v>#DIV/0!</v>
      </c>
      <c r="AP55" s="18" t="e">
        <f>-PV(#REF!,'3.6 - Open'!K55,'3.6 - Open'!P55)*'3.6 - Open'!B55</f>
        <v>#REF!</v>
      </c>
      <c r="AQ55" s="19" t="e">
        <f t="shared" si="18"/>
        <v>#REF!</v>
      </c>
      <c r="AR55" s="19" t="e">
        <f t="shared" si="19"/>
        <v>#REF!</v>
      </c>
      <c r="AS55" s="18" t="e">
        <f>B55*H55*K55*#REF!</f>
        <v>#REF!</v>
      </c>
      <c r="AT55" s="19" t="e">
        <f>B55*J55*K55*#REF!</f>
        <v>#REF!</v>
      </c>
      <c r="AU55" s="6"/>
      <c r="AV55" s="6"/>
      <c r="AW55" s="6"/>
      <c r="AX55" s="6"/>
      <c r="AY55" s="6"/>
    </row>
    <row r="56" spans="1:51" x14ac:dyDescent="0.25">
      <c r="A56" s="14"/>
      <c r="B56" s="14"/>
      <c r="C56" s="15"/>
      <c r="D56" s="14"/>
      <c r="E56" s="14" t="s">
        <v>24</v>
      </c>
      <c r="F56" s="15"/>
      <c r="G56" s="15"/>
      <c r="H56" s="14"/>
      <c r="I56" s="15"/>
      <c r="J56" s="14"/>
      <c r="K56" s="14"/>
      <c r="L56" s="15"/>
      <c r="M56" s="15"/>
      <c r="N56" s="15"/>
      <c r="O56" s="15"/>
      <c r="P56" s="15"/>
      <c r="Q56" s="15"/>
      <c r="R56" s="15"/>
      <c r="S56" s="15"/>
      <c r="T56" s="18">
        <f>IF(D56="Res Space Heat",VLOOKUP(K56,#REF!,4)*H56,IF(D56="Res AC",VLOOKUP(K56,#REF!,6)*H56,IF(D56="Res Lighting",VLOOKUP(K56,#REF!,8)*H56,IF(D56="Res Refrigeration",VLOOKUP(K56,#REF!,10)*H56,IF(D56="Res Water Heating",VLOOKUP(K56,#REF!,12)*H56,IF(D56="Res Dishwasher",VLOOKUP(K56,#REF!,14)*H56,IF(D56="Res Washer Dryer",VLOOKUP(K56,#REF!,16)*H56,IF(D56="Res Misc",VLOOKUP(K56,#REF!,18)*H56,IF(D56="Res Furnace Fan",VLOOKUP(K56,#REF!,20)*H56,IF(D56="NonRes Compressed Air",VLOOKUP(K56,#REF!,22)*H56,IF(D56="NonRes Cooking",VLOOKUP(K56,#REF!,24)*H56,IF(D56="NonRes Space Cooling",VLOOKUP(K56,#REF!,26)*H56,IF(D56="NonRes Exterior Lighting",VLOOKUP(K56,#REF!,28)*H56,IF(D56="NonRes Space Heating",VLOOKUP(K56,#REF!,30)*H56,IF(D56="NonRes Water Heating",VLOOKUP(K56,#REF!,32)*H56,IF(D56="NonRes Interior Lighting",VLOOKUP(K56,#REF!,34)*H56,IF(D56="NonRes Misc",VLOOKUP(K56,#REF!,36)*H56,IF(D56="NonRes Motors",VLOOKUP(K56,#REF!,38)*H56,IF(D56="NonRes Office Equipment",VLOOKUP(K56,#REF!,40)*H56,IF(D56="NonRes Process",VLOOKUP(K56,#REF!,42)*H56,IF(D56="NonRes Refrigeration",VLOOKUP(K56,#REF!,44)*H56,IF(D56="NonRes Ventilation",VLOOKUP(K56,#REF!,46)*H56,0))))))))))))))))))))))</f>
        <v>0</v>
      </c>
      <c r="U56" s="18">
        <f>IF(E56="Annual",VLOOKUP(K56,#REF!,4)*'3.6 - Open'!J56,IF(E56="Winter",VLOOKUP('3.6 - Open'!K56,#REF!,5)*'3.6 - Open'!J56,IF(E56="NA",0,0)))</f>
        <v>0</v>
      </c>
      <c r="V56" s="19">
        <f t="shared" si="20"/>
        <v>0</v>
      </c>
      <c r="W56" s="19">
        <f t="shared" si="21"/>
        <v>0</v>
      </c>
      <c r="X56" s="19">
        <f t="shared" si="22"/>
        <v>0</v>
      </c>
      <c r="Y56" s="19">
        <f t="shared" si="23"/>
        <v>0</v>
      </c>
      <c r="Z56" s="20" t="e">
        <f>(T56+U56+(PV(#REF!,'3.6 - Open'!K56,'3.6 - Open'!P56)*-1)+'3.6 - Open'!O56)/'3.6 - Open'!F56</f>
        <v>#REF!</v>
      </c>
      <c r="AA56" s="20" t="e">
        <f t="shared" si="24"/>
        <v>#DIV/0!</v>
      </c>
      <c r="AB56" s="21">
        <f t="shared" si="25"/>
        <v>0</v>
      </c>
      <c r="AC56" s="20">
        <f t="shared" si="26"/>
        <v>0</v>
      </c>
      <c r="AD56" s="20">
        <f t="shared" si="27"/>
        <v>0</v>
      </c>
      <c r="AE56" s="20">
        <f t="shared" si="28"/>
        <v>0</v>
      </c>
      <c r="AF56" s="19">
        <f t="shared" si="29"/>
        <v>0</v>
      </c>
      <c r="AG56" s="19">
        <f t="shared" si="30"/>
        <v>0</v>
      </c>
      <c r="AH56" s="19">
        <f t="shared" si="31"/>
        <v>0</v>
      </c>
      <c r="AI56" s="19">
        <f t="shared" si="32"/>
        <v>0</v>
      </c>
      <c r="AJ56" s="15">
        <v>0</v>
      </c>
      <c r="AK56" s="19">
        <f t="shared" si="15"/>
        <v>0</v>
      </c>
      <c r="AL56" s="19">
        <f t="shared" si="16"/>
        <v>0</v>
      </c>
      <c r="AM56" s="19">
        <f t="shared" si="33"/>
        <v>0</v>
      </c>
      <c r="AN56" s="19" t="e">
        <f t="shared" si="34"/>
        <v>#DIV/0!</v>
      </c>
      <c r="AO56" s="19" t="e">
        <f t="shared" si="17"/>
        <v>#DIV/0!</v>
      </c>
      <c r="AP56" s="18" t="e">
        <f>-PV(#REF!,'3.6 - Open'!K56,'3.6 - Open'!P56)*'3.6 - Open'!B56</f>
        <v>#REF!</v>
      </c>
      <c r="AQ56" s="19" t="e">
        <f t="shared" si="18"/>
        <v>#REF!</v>
      </c>
      <c r="AR56" s="19" t="e">
        <f t="shared" si="19"/>
        <v>#REF!</v>
      </c>
      <c r="AS56" s="18" t="e">
        <f>B56*H56*K56*#REF!</f>
        <v>#REF!</v>
      </c>
      <c r="AT56" s="19" t="e">
        <f>B56*J56*K56*#REF!</f>
        <v>#REF!</v>
      </c>
      <c r="AU56" s="6"/>
      <c r="AV56" s="6"/>
      <c r="AW56" s="6"/>
      <c r="AX56" s="6"/>
      <c r="AY56" s="6"/>
    </row>
    <row r="57" spans="1:51" x14ac:dyDescent="0.25">
      <c r="A57" s="14"/>
      <c r="B57" s="14"/>
      <c r="C57" s="15"/>
      <c r="D57" s="14"/>
      <c r="E57" s="14" t="s">
        <v>24</v>
      </c>
      <c r="F57" s="15"/>
      <c r="G57" s="15"/>
      <c r="H57" s="14"/>
      <c r="I57" s="15"/>
      <c r="J57" s="14"/>
      <c r="K57" s="14"/>
      <c r="L57" s="15"/>
      <c r="M57" s="15"/>
      <c r="N57" s="15"/>
      <c r="O57" s="15"/>
      <c r="P57" s="15"/>
      <c r="Q57" s="15"/>
      <c r="R57" s="15"/>
      <c r="S57" s="15"/>
      <c r="T57" s="18">
        <f>IF(D57="Res Space Heat",VLOOKUP(K57,#REF!,4)*H57,IF(D57="Res AC",VLOOKUP(K57,#REF!,6)*H57,IF(D57="Res Lighting",VLOOKUP(K57,#REF!,8)*H57,IF(D57="Res Refrigeration",VLOOKUP(K57,#REF!,10)*H57,IF(D57="Res Water Heating",VLOOKUP(K57,#REF!,12)*H57,IF(D57="Res Dishwasher",VLOOKUP(K57,#REF!,14)*H57,IF(D57="Res Washer Dryer",VLOOKUP(K57,#REF!,16)*H57,IF(D57="Res Misc",VLOOKUP(K57,#REF!,18)*H57,IF(D57="Res Furnace Fan",VLOOKUP(K57,#REF!,20)*H57,IF(D57="NonRes Compressed Air",VLOOKUP(K57,#REF!,22)*H57,IF(D57="NonRes Cooking",VLOOKUP(K57,#REF!,24)*H57,IF(D57="NonRes Space Cooling",VLOOKUP(K57,#REF!,26)*H57,IF(D57="NonRes Exterior Lighting",VLOOKUP(K57,#REF!,28)*H57,IF(D57="NonRes Space Heating",VLOOKUP(K57,#REF!,30)*H57,IF(D57="NonRes Water Heating",VLOOKUP(K57,#REF!,32)*H57,IF(D57="NonRes Interior Lighting",VLOOKUP(K57,#REF!,34)*H57,IF(D57="NonRes Misc",VLOOKUP(K57,#REF!,36)*H57,IF(D57="NonRes Motors",VLOOKUP(K57,#REF!,38)*H57,IF(D57="NonRes Office Equipment",VLOOKUP(K57,#REF!,40)*H57,IF(D57="NonRes Process",VLOOKUP(K57,#REF!,42)*H57,IF(D57="NonRes Refrigeration",VLOOKUP(K57,#REF!,44)*H57,IF(D57="NonRes Ventilation",VLOOKUP(K57,#REF!,46)*H57,0))))))))))))))))))))))</f>
        <v>0</v>
      </c>
      <c r="U57" s="18">
        <f>IF(E57="Annual",VLOOKUP(K57,#REF!,4)*'3.6 - Open'!J57,IF(E57="Winter",VLOOKUP('3.6 - Open'!K57,#REF!,5)*'3.6 - Open'!J57,IF(E57="NA",0,0)))</f>
        <v>0</v>
      </c>
      <c r="V57" s="19">
        <f t="shared" si="20"/>
        <v>0</v>
      </c>
      <c r="W57" s="19">
        <f t="shared" si="21"/>
        <v>0</v>
      </c>
      <c r="X57" s="19">
        <f t="shared" si="22"/>
        <v>0</v>
      </c>
      <c r="Y57" s="19">
        <f t="shared" si="23"/>
        <v>0</v>
      </c>
      <c r="Z57" s="20" t="e">
        <f>(T57+U57+(PV(#REF!,'3.6 - Open'!K57,'3.6 - Open'!P57)*-1)+'3.6 - Open'!O57)/'3.6 - Open'!F57</f>
        <v>#REF!</v>
      </c>
      <c r="AA57" s="20" t="e">
        <f t="shared" si="24"/>
        <v>#DIV/0!</v>
      </c>
      <c r="AB57" s="21">
        <f t="shared" si="25"/>
        <v>0</v>
      </c>
      <c r="AC57" s="20">
        <f t="shared" si="26"/>
        <v>0</v>
      </c>
      <c r="AD57" s="20">
        <f t="shared" si="27"/>
        <v>0</v>
      </c>
      <c r="AE57" s="20">
        <f t="shared" si="28"/>
        <v>0</v>
      </c>
      <c r="AF57" s="19">
        <f t="shared" si="29"/>
        <v>0</v>
      </c>
      <c r="AG57" s="19">
        <f t="shared" si="30"/>
        <v>0</v>
      </c>
      <c r="AH57" s="19">
        <f t="shared" si="31"/>
        <v>0</v>
      </c>
      <c r="AI57" s="19">
        <f t="shared" si="32"/>
        <v>0</v>
      </c>
      <c r="AJ57" s="15">
        <v>0</v>
      </c>
      <c r="AK57" s="19">
        <f t="shared" si="15"/>
        <v>0</v>
      </c>
      <c r="AL57" s="19">
        <f t="shared" si="16"/>
        <v>0</v>
      </c>
      <c r="AM57" s="19">
        <f t="shared" si="33"/>
        <v>0</v>
      </c>
      <c r="AN57" s="19" t="e">
        <f t="shared" si="34"/>
        <v>#DIV/0!</v>
      </c>
      <c r="AO57" s="19" t="e">
        <f t="shared" si="17"/>
        <v>#DIV/0!</v>
      </c>
      <c r="AP57" s="18" t="e">
        <f>-PV(#REF!,'3.6 - Open'!K57,'3.6 - Open'!P57)*'3.6 - Open'!B57</f>
        <v>#REF!</v>
      </c>
      <c r="AQ57" s="19" t="e">
        <f t="shared" si="18"/>
        <v>#REF!</v>
      </c>
      <c r="AR57" s="19" t="e">
        <f t="shared" si="19"/>
        <v>#REF!</v>
      </c>
      <c r="AS57" s="18" t="e">
        <f>B57*H57*K57*#REF!</f>
        <v>#REF!</v>
      </c>
      <c r="AT57" s="19" t="e">
        <f>B57*J57*K57*#REF!</f>
        <v>#REF!</v>
      </c>
      <c r="AU57" s="6"/>
      <c r="AV57" s="6"/>
      <c r="AW57" s="6"/>
      <c r="AX57" s="6"/>
      <c r="AY57" s="6"/>
    </row>
    <row r="58" spans="1:51" x14ac:dyDescent="0.25">
      <c r="A58" s="14"/>
      <c r="B58" s="14"/>
      <c r="C58" s="15"/>
      <c r="D58" s="14"/>
      <c r="E58" s="14" t="s">
        <v>24</v>
      </c>
      <c r="F58" s="15"/>
      <c r="G58" s="15"/>
      <c r="H58" s="14"/>
      <c r="I58" s="15"/>
      <c r="J58" s="14"/>
      <c r="K58" s="14"/>
      <c r="L58" s="15"/>
      <c r="M58" s="15"/>
      <c r="N58" s="15"/>
      <c r="O58" s="15"/>
      <c r="P58" s="15"/>
      <c r="Q58" s="15"/>
      <c r="R58" s="15"/>
      <c r="S58" s="15"/>
      <c r="T58" s="18">
        <f>IF(D58="Res Space Heat",VLOOKUP(K58,#REF!,4)*H58,IF(D58="Res AC",VLOOKUP(K58,#REF!,6)*H58,IF(D58="Res Lighting",VLOOKUP(K58,#REF!,8)*H58,IF(D58="Res Refrigeration",VLOOKUP(K58,#REF!,10)*H58,IF(D58="Res Water Heating",VLOOKUP(K58,#REF!,12)*H58,IF(D58="Res Dishwasher",VLOOKUP(K58,#REF!,14)*H58,IF(D58="Res Washer Dryer",VLOOKUP(K58,#REF!,16)*H58,IF(D58="Res Misc",VLOOKUP(K58,#REF!,18)*H58,IF(D58="Res Furnace Fan",VLOOKUP(K58,#REF!,20)*H58,IF(D58="NonRes Compressed Air",VLOOKUP(K58,#REF!,22)*H58,IF(D58="NonRes Cooking",VLOOKUP(K58,#REF!,24)*H58,IF(D58="NonRes Space Cooling",VLOOKUP(K58,#REF!,26)*H58,IF(D58="NonRes Exterior Lighting",VLOOKUP(K58,#REF!,28)*H58,IF(D58="NonRes Space Heating",VLOOKUP(K58,#REF!,30)*H58,IF(D58="NonRes Water Heating",VLOOKUP(K58,#REF!,32)*H58,IF(D58="NonRes Interior Lighting",VLOOKUP(K58,#REF!,34)*H58,IF(D58="NonRes Misc",VLOOKUP(K58,#REF!,36)*H58,IF(D58="NonRes Motors",VLOOKUP(K58,#REF!,38)*H58,IF(D58="NonRes Office Equipment",VLOOKUP(K58,#REF!,40)*H58,IF(D58="NonRes Process",VLOOKUP(K58,#REF!,42)*H58,IF(D58="NonRes Refrigeration",VLOOKUP(K58,#REF!,44)*H58,IF(D58="NonRes Ventilation",VLOOKUP(K58,#REF!,46)*H58,0))))))))))))))))))))))</f>
        <v>0</v>
      </c>
      <c r="U58" s="18">
        <f>IF(E58="Annual",VLOOKUP(K58,#REF!,4)*'3.6 - Open'!J58,IF(E58="Winter",VLOOKUP('3.6 - Open'!K58,#REF!,5)*'3.6 - Open'!J58,IF(E58="NA",0,0)))</f>
        <v>0</v>
      </c>
      <c r="V58" s="19">
        <f t="shared" si="20"/>
        <v>0</v>
      </c>
      <c r="W58" s="19">
        <f t="shared" si="21"/>
        <v>0</v>
      </c>
      <c r="X58" s="19">
        <f t="shared" si="22"/>
        <v>0</v>
      </c>
      <c r="Y58" s="19">
        <f t="shared" si="23"/>
        <v>0</v>
      </c>
      <c r="Z58" s="20" t="e">
        <f>(T58+U58+(PV(#REF!,'3.6 - Open'!K58,'3.6 - Open'!P58)*-1)+'3.6 - Open'!O58)/'3.6 - Open'!F58</f>
        <v>#REF!</v>
      </c>
      <c r="AA58" s="20" t="e">
        <f t="shared" si="24"/>
        <v>#DIV/0!</v>
      </c>
      <c r="AB58" s="21">
        <f t="shared" si="25"/>
        <v>0</v>
      </c>
      <c r="AC58" s="20">
        <f t="shared" si="26"/>
        <v>0</v>
      </c>
      <c r="AD58" s="20">
        <f t="shared" si="27"/>
        <v>0</v>
      </c>
      <c r="AE58" s="20">
        <f t="shared" si="28"/>
        <v>0</v>
      </c>
      <c r="AF58" s="19">
        <f t="shared" si="29"/>
        <v>0</v>
      </c>
      <c r="AG58" s="19">
        <f t="shared" si="30"/>
        <v>0</v>
      </c>
      <c r="AH58" s="19">
        <f t="shared" si="31"/>
        <v>0</v>
      </c>
      <c r="AI58" s="19">
        <f t="shared" si="32"/>
        <v>0</v>
      </c>
      <c r="AJ58" s="15">
        <v>0</v>
      </c>
      <c r="AK58" s="19">
        <f t="shared" si="15"/>
        <v>0</v>
      </c>
      <c r="AL58" s="19">
        <f t="shared" si="16"/>
        <v>0</v>
      </c>
      <c r="AM58" s="19">
        <f t="shared" si="33"/>
        <v>0</v>
      </c>
      <c r="AN58" s="19" t="e">
        <f t="shared" si="34"/>
        <v>#DIV/0!</v>
      </c>
      <c r="AO58" s="19" t="e">
        <f t="shared" si="17"/>
        <v>#DIV/0!</v>
      </c>
      <c r="AP58" s="18" t="e">
        <f>-PV(#REF!,'3.6 - Open'!K58,'3.6 - Open'!P58)*'3.6 - Open'!B58</f>
        <v>#REF!</v>
      </c>
      <c r="AQ58" s="19" t="e">
        <f t="shared" si="18"/>
        <v>#REF!</v>
      </c>
      <c r="AR58" s="19" t="e">
        <f t="shared" si="19"/>
        <v>#REF!</v>
      </c>
      <c r="AS58" s="18" t="e">
        <f>B58*H58*K58*#REF!</f>
        <v>#REF!</v>
      </c>
      <c r="AT58" s="19" t="e">
        <f>B58*J58*K58*#REF!</f>
        <v>#REF!</v>
      </c>
      <c r="AU58" s="6"/>
      <c r="AV58" s="6"/>
      <c r="AW58" s="6"/>
      <c r="AX58" s="6"/>
      <c r="AY58" s="6"/>
    </row>
    <row r="59" spans="1:51" x14ac:dyDescent="0.25">
      <c r="A59" s="14"/>
      <c r="B59" s="14"/>
      <c r="C59" s="15"/>
      <c r="D59" s="14"/>
      <c r="E59" s="14" t="s">
        <v>24</v>
      </c>
      <c r="F59" s="15"/>
      <c r="G59" s="15"/>
      <c r="H59" s="14"/>
      <c r="I59" s="15"/>
      <c r="J59" s="14"/>
      <c r="K59" s="14"/>
      <c r="L59" s="15"/>
      <c r="M59" s="15"/>
      <c r="N59" s="15"/>
      <c r="O59" s="15"/>
      <c r="P59" s="15"/>
      <c r="Q59" s="15"/>
      <c r="R59" s="15"/>
      <c r="S59" s="15"/>
      <c r="T59" s="18">
        <f>IF(D59="Res Space Heat",VLOOKUP(K59,#REF!,4)*H59,IF(D59="Res AC",VLOOKUP(K59,#REF!,6)*H59,IF(D59="Res Lighting",VLOOKUP(K59,#REF!,8)*H59,IF(D59="Res Refrigeration",VLOOKUP(K59,#REF!,10)*H59,IF(D59="Res Water Heating",VLOOKUP(K59,#REF!,12)*H59,IF(D59="Res Dishwasher",VLOOKUP(K59,#REF!,14)*H59,IF(D59="Res Washer Dryer",VLOOKUP(K59,#REF!,16)*H59,IF(D59="Res Misc",VLOOKUP(K59,#REF!,18)*H59,IF(D59="Res Furnace Fan",VLOOKUP(K59,#REF!,20)*H59,IF(D59="NonRes Compressed Air",VLOOKUP(K59,#REF!,22)*H59,IF(D59="NonRes Cooking",VLOOKUP(K59,#REF!,24)*H59,IF(D59="NonRes Space Cooling",VLOOKUP(K59,#REF!,26)*H59,IF(D59="NonRes Exterior Lighting",VLOOKUP(K59,#REF!,28)*H59,IF(D59="NonRes Space Heating",VLOOKUP(K59,#REF!,30)*H59,IF(D59="NonRes Water Heating",VLOOKUP(K59,#REF!,32)*H59,IF(D59="NonRes Interior Lighting",VLOOKUP(K59,#REF!,34)*H59,IF(D59="NonRes Misc",VLOOKUP(K59,#REF!,36)*H59,IF(D59="NonRes Motors",VLOOKUP(K59,#REF!,38)*H59,IF(D59="NonRes Office Equipment",VLOOKUP(K59,#REF!,40)*H59,IF(D59="NonRes Process",VLOOKUP(K59,#REF!,42)*H59,IF(D59="NonRes Refrigeration",VLOOKUP(K59,#REF!,44)*H59,IF(D59="NonRes Ventilation",VLOOKUP(K59,#REF!,46)*H59,0))))))))))))))))))))))</f>
        <v>0</v>
      </c>
      <c r="U59" s="18">
        <f>IF(E59="Annual",VLOOKUP(K59,#REF!,4)*'3.6 - Open'!J59,IF(E59="Winter",VLOOKUP('3.6 - Open'!K59,#REF!,5)*'3.6 - Open'!J59,IF(E59="NA",0,0)))</f>
        <v>0</v>
      </c>
      <c r="V59" s="19">
        <f t="shared" si="20"/>
        <v>0</v>
      </c>
      <c r="W59" s="19">
        <f t="shared" si="21"/>
        <v>0</v>
      </c>
      <c r="X59" s="19">
        <f t="shared" si="22"/>
        <v>0</v>
      </c>
      <c r="Y59" s="19">
        <f t="shared" si="23"/>
        <v>0</v>
      </c>
      <c r="Z59" s="20" t="e">
        <f>(T59+U59+(PV(#REF!,'3.6 - Open'!K59,'3.6 - Open'!P59)*-1)+'3.6 - Open'!O59)/'3.6 - Open'!F59</f>
        <v>#REF!</v>
      </c>
      <c r="AA59" s="20" t="e">
        <f t="shared" si="24"/>
        <v>#DIV/0!</v>
      </c>
      <c r="AB59" s="21">
        <f t="shared" si="25"/>
        <v>0</v>
      </c>
      <c r="AC59" s="20">
        <f t="shared" si="26"/>
        <v>0</v>
      </c>
      <c r="AD59" s="20">
        <f t="shared" si="27"/>
        <v>0</v>
      </c>
      <c r="AE59" s="20">
        <f t="shared" si="28"/>
        <v>0</v>
      </c>
      <c r="AF59" s="19">
        <f t="shared" si="29"/>
        <v>0</v>
      </c>
      <c r="AG59" s="19">
        <f t="shared" si="30"/>
        <v>0</v>
      </c>
      <c r="AH59" s="19">
        <f t="shared" si="31"/>
        <v>0</v>
      </c>
      <c r="AI59" s="19">
        <f t="shared" si="32"/>
        <v>0</v>
      </c>
      <c r="AJ59" s="15">
        <v>0</v>
      </c>
      <c r="AK59" s="19">
        <f t="shared" si="15"/>
        <v>0</v>
      </c>
      <c r="AL59" s="19">
        <f t="shared" si="16"/>
        <v>0</v>
      </c>
      <c r="AM59" s="19">
        <f t="shared" si="33"/>
        <v>0</v>
      </c>
      <c r="AN59" s="19" t="e">
        <f t="shared" si="34"/>
        <v>#DIV/0!</v>
      </c>
      <c r="AO59" s="19" t="e">
        <f t="shared" si="17"/>
        <v>#DIV/0!</v>
      </c>
      <c r="AP59" s="18" t="e">
        <f>-PV(#REF!,'3.6 - Open'!K59,'3.6 - Open'!P59)*'3.6 - Open'!B59</f>
        <v>#REF!</v>
      </c>
      <c r="AQ59" s="19" t="e">
        <f t="shared" si="18"/>
        <v>#REF!</v>
      </c>
      <c r="AR59" s="19" t="e">
        <f t="shared" si="19"/>
        <v>#REF!</v>
      </c>
      <c r="AS59" s="18" t="e">
        <f>B59*H59*K59*#REF!</f>
        <v>#REF!</v>
      </c>
      <c r="AT59" s="19" t="e">
        <f>B59*J59*K59*#REF!</f>
        <v>#REF!</v>
      </c>
      <c r="AU59" s="6"/>
      <c r="AV59" s="6"/>
      <c r="AW59" s="6"/>
      <c r="AX59" s="6"/>
      <c r="AY59" s="6"/>
    </row>
    <row r="60" spans="1:51" x14ac:dyDescent="0.25">
      <c r="A60" s="14"/>
      <c r="B60" s="14"/>
      <c r="C60" s="15"/>
      <c r="D60" s="14"/>
      <c r="E60" s="14" t="s">
        <v>24</v>
      </c>
      <c r="F60" s="15"/>
      <c r="G60" s="15"/>
      <c r="H60" s="14"/>
      <c r="I60" s="15"/>
      <c r="J60" s="14"/>
      <c r="K60" s="14"/>
      <c r="L60" s="15"/>
      <c r="M60" s="15"/>
      <c r="N60" s="15"/>
      <c r="O60" s="15"/>
      <c r="P60" s="15"/>
      <c r="Q60" s="15"/>
      <c r="R60" s="15"/>
      <c r="S60" s="15"/>
      <c r="T60" s="18">
        <f>IF(D60="Res Space Heat",VLOOKUP(K60,#REF!,4)*H60,IF(D60="Res AC",VLOOKUP(K60,#REF!,6)*H60,IF(D60="Res Lighting",VLOOKUP(K60,#REF!,8)*H60,IF(D60="Res Refrigeration",VLOOKUP(K60,#REF!,10)*H60,IF(D60="Res Water Heating",VLOOKUP(K60,#REF!,12)*H60,IF(D60="Res Dishwasher",VLOOKUP(K60,#REF!,14)*H60,IF(D60="Res Washer Dryer",VLOOKUP(K60,#REF!,16)*H60,IF(D60="Res Misc",VLOOKUP(K60,#REF!,18)*H60,IF(D60="Res Furnace Fan",VLOOKUP(K60,#REF!,20)*H60,IF(D60="NonRes Compressed Air",VLOOKUP(K60,#REF!,22)*H60,IF(D60="NonRes Cooking",VLOOKUP(K60,#REF!,24)*H60,IF(D60="NonRes Space Cooling",VLOOKUP(K60,#REF!,26)*H60,IF(D60="NonRes Exterior Lighting",VLOOKUP(K60,#REF!,28)*H60,IF(D60="NonRes Space Heating",VLOOKUP(K60,#REF!,30)*H60,IF(D60="NonRes Water Heating",VLOOKUP(K60,#REF!,32)*H60,IF(D60="NonRes Interior Lighting",VLOOKUP(K60,#REF!,34)*H60,IF(D60="NonRes Misc",VLOOKUP(K60,#REF!,36)*H60,IF(D60="NonRes Motors",VLOOKUP(K60,#REF!,38)*H60,IF(D60="NonRes Office Equipment",VLOOKUP(K60,#REF!,40)*H60,IF(D60="NonRes Process",VLOOKUP(K60,#REF!,42)*H60,IF(D60="NonRes Refrigeration",VLOOKUP(K60,#REF!,44)*H60,IF(D60="NonRes Ventilation",VLOOKUP(K60,#REF!,46)*H60,0))))))))))))))))))))))</f>
        <v>0</v>
      </c>
      <c r="U60" s="18">
        <f>IF(E60="Annual",VLOOKUP(K60,#REF!,4)*'3.6 - Open'!J60,IF(E60="Winter",VLOOKUP('3.6 - Open'!K60,#REF!,5)*'3.6 - Open'!J60,IF(E60="NA",0,0)))</f>
        <v>0</v>
      </c>
      <c r="V60" s="19">
        <f t="shared" si="20"/>
        <v>0</v>
      </c>
      <c r="W60" s="19">
        <f t="shared" si="21"/>
        <v>0</v>
      </c>
      <c r="X60" s="19">
        <f t="shared" si="22"/>
        <v>0</v>
      </c>
      <c r="Y60" s="19">
        <f t="shared" si="23"/>
        <v>0</v>
      </c>
      <c r="Z60" s="20" t="e">
        <f>(T60+U60+(PV(#REF!,'3.6 - Open'!K60,'3.6 - Open'!P60)*-1)+'3.6 - Open'!O60)/'3.6 - Open'!F60</f>
        <v>#REF!</v>
      </c>
      <c r="AA60" s="20" t="e">
        <f t="shared" si="24"/>
        <v>#DIV/0!</v>
      </c>
      <c r="AB60" s="21">
        <f t="shared" si="25"/>
        <v>0</v>
      </c>
      <c r="AC60" s="20">
        <f t="shared" si="26"/>
        <v>0</v>
      </c>
      <c r="AD60" s="20">
        <f t="shared" si="27"/>
        <v>0</v>
      </c>
      <c r="AE60" s="20">
        <f t="shared" si="28"/>
        <v>0</v>
      </c>
      <c r="AF60" s="19">
        <f t="shared" si="29"/>
        <v>0</v>
      </c>
      <c r="AG60" s="19">
        <f t="shared" si="30"/>
        <v>0</v>
      </c>
      <c r="AH60" s="19">
        <f t="shared" si="31"/>
        <v>0</v>
      </c>
      <c r="AI60" s="19">
        <f t="shared" si="32"/>
        <v>0</v>
      </c>
      <c r="AJ60" s="15">
        <v>0</v>
      </c>
      <c r="AK60" s="19">
        <f t="shared" si="15"/>
        <v>0</v>
      </c>
      <c r="AL60" s="19">
        <f t="shared" si="16"/>
        <v>0</v>
      </c>
      <c r="AM60" s="19">
        <f t="shared" si="33"/>
        <v>0</v>
      </c>
      <c r="AN60" s="19" t="e">
        <f t="shared" si="34"/>
        <v>#DIV/0!</v>
      </c>
      <c r="AO60" s="19" t="e">
        <f t="shared" si="17"/>
        <v>#DIV/0!</v>
      </c>
      <c r="AP60" s="18" t="e">
        <f>-PV(#REF!,'3.6 - Open'!K60,'3.6 - Open'!P60)*'3.6 - Open'!B60</f>
        <v>#REF!</v>
      </c>
      <c r="AQ60" s="19" t="e">
        <f t="shared" si="18"/>
        <v>#REF!</v>
      </c>
      <c r="AR60" s="19" t="e">
        <f t="shared" si="19"/>
        <v>#REF!</v>
      </c>
      <c r="AS60" s="18" t="e">
        <f>B60*H60*K60*#REF!</f>
        <v>#REF!</v>
      </c>
      <c r="AT60" s="19" t="e">
        <f>B60*J60*K60*#REF!</f>
        <v>#REF!</v>
      </c>
      <c r="AU60" s="6"/>
      <c r="AV60" s="6"/>
      <c r="AW60" s="6"/>
      <c r="AX60" s="6"/>
      <c r="AY60" s="6"/>
    </row>
    <row r="61" spans="1:51" x14ac:dyDescent="0.25">
      <c r="A61" s="14"/>
      <c r="B61" s="14"/>
      <c r="C61" s="15"/>
      <c r="D61" s="14"/>
      <c r="E61" s="14" t="s">
        <v>24</v>
      </c>
      <c r="F61" s="15"/>
      <c r="G61" s="15"/>
      <c r="H61" s="14"/>
      <c r="I61" s="15"/>
      <c r="J61" s="14"/>
      <c r="K61" s="14"/>
      <c r="L61" s="15"/>
      <c r="M61" s="15"/>
      <c r="N61" s="15"/>
      <c r="O61" s="15"/>
      <c r="P61" s="15"/>
      <c r="Q61" s="15"/>
      <c r="R61" s="15"/>
      <c r="S61" s="15"/>
      <c r="T61" s="18">
        <f>IF(D61="Res Space Heat",VLOOKUP(K61,#REF!,4)*H61,IF(D61="Res AC",VLOOKUP(K61,#REF!,6)*H61,IF(D61="Res Lighting",VLOOKUP(K61,#REF!,8)*H61,IF(D61="Res Refrigeration",VLOOKUP(K61,#REF!,10)*H61,IF(D61="Res Water Heating",VLOOKUP(K61,#REF!,12)*H61,IF(D61="Res Dishwasher",VLOOKUP(K61,#REF!,14)*H61,IF(D61="Res Washer Dryer",VLOOKUP(K61,#REF!,16)*H61,IF(D61="Res Misc",VLOOKUP(K61,#REF!,18)*H61,IF(D61="Res Furnace Fan",VLOOKUP(K61,#REF!,20)*H61,IF(D61="NonRes Compressed Air",VLOOKUP(K61,#REF!,22)*H61,IF(D61="NonRes Cooking",VLOOKUP(K61,#REF!,24)*H61,IF(D61="NonRes Space Cooling",VLOOKUP(K61,#REF!,26)*H61,IF(D61="NonRes Exterior Lighting",VLOOKUP(K61,#REF!,28)*H61,IF(D61="NonRes Space Heating",VLOOKUP(K61,#REF!,30)*H61,IF(D61="NonRes Water Heating",VLOOKUP(K61,#REF!,32)*H61,IF(D61="NonRes Interior Lighting",VLOOKUP(K61,#REF!,34)*H61,IF(D61="NonRes Misc",VLOOKUP(K61,#REF!,36)*H61,IF(D61="NonRes Motors",VLOOKUP(K61,#REF!,38)*H61,IF(D61="NonRes Office Equipment",VLOOKUP(K61,#REF!,40)*H61,IF(D61="NonRes Process",VLOOKUP(K61,#REF!,42)*H61,IF(D61="NonRes Refrigeration",VLOOKUP(K61,#REF!,44)*H61,IF(D61="NonRes Ventilation",VLOOKUP(K61,#REF!,46)*H61,0))))))))))))))))))))))</f>
        <v>0</v>
      </c>
      <c r="U61" s="18">
        <f>IF(E61="Annual",VLOOKUP(K61,#REF!,4)*'3.6 - Open'!J61,IF(E61="Winter",VLOOKUP('3.6 - Open'!K61,#REF!,5)*'3.6 - Open'!J61,IF(E61="NA",0,0)))</f>
        <v>0</v>
      </c>
      <c r="V61" s="19">
        <f t="shared" si="20"/>
        <v>0</v>
      </c>
      <c r="W61" s="19">
        <f t="shared" si="21"/>
        <v>0</v>
      </c>
      <c r="X61" s="19">
        <f t="shared" si="22"/>
        <v>0</v>
      </c>
      <c r="Y61" s="19">
        <f t="shared" si="23"/>
        <v>0</v>
      </c>
      <c r="Z61" s="20" t="e">
        <f>(T61+U61+(PV(#REF!,'3.6 - Open'!K61,'3.6 - Open'!P61)*-1)+'3.6 - Open'!O61)/'3.6 - Open'!F61</f>
        <v>#REF!</v>
      </c>
      <c r="AA61" s="20" t="e">
        <f t="shared" si="24"/>
        <v>#DIV/0!</v>
      </c>
      <c r="AB61" s="21">
        <f t="shared" si="25"/>
        <v>0</v>
      </c>
      <c r="AC61" s="20">
        <f t="shared" si="26"/>
        <v>0</v>
      </c>
      <c r="AD61" s="20">
        <f t="shared" si="27"/>
        <v>0</v>
      </c>
      <c r="AE61" s="20">
        <f t="shared" si="28"/>
        <v>0</v>
      </c>
      <c r="AF61" s="19">
        <f t="shared" si="29"/>
        <v>0</v>
      </c>
      <c r="AG61" s="19">
        <f t="shared" si="30"/>
        <v>0</v>
      </c>
      <c r="AH61" s="19">
        <f t="shared" si="31"/>
        <v>0</v>
      </c>
      <c r="AI61" s="19">
        <f t="shared" si="32"/>
        <v>0</v>
      </c>
      <c r="AJ61" s="15">
        <v>0</v>
      </c>
      <c r="AK61" s="19">
        <f t="shared" si="15"/>
        <v>0</v>
      </c>
      <c r="AL61" s="19">
        <f t="shared" si="16"/>
        <v>0</v>
      </c>
      <c r="AM61" s="19">
        <f t="shared" si="33"/>
        <v>0</v>
      </c>
      <c r="AN61" s="19" t="e">
        <f t="shared" si="34"/>
        <v>#DIV/0!</v>
      </c>
      <c r="AO61" s="19" t="e">
        <f t="shared" si="17"/>
        <v>#DIV/0!</v>
      </c>
      <c r="AP61" s="18" t="e">
        <f>-PV(#REF!,'3.6 - Open'!K61,'3.6 - Open'!P61)*'3.6 - Open'!B61</f>
        <v>#REF!</v>
      </c>
      <c r="AQ61" s="19" t="e">
        <f t="shared" si="18"/>
        <v>#REF!</v>
      </c>
      <c r="AR61" s="19" t="e">
        <f t="shared" si="19"/>
        <v>#REF!</v>
      </c>
      <c r="AS61" s="18" t="e">
        <f>B61*H61*K61*#REF!</f>
        <v>#REF!</v>
      </c>
      <c r="AT61" s="19" t="e">
        <f>B61*J61*K61*#REF!</f>
        <v>#REF!</v>
      </c>
      <c r="AU61" s="6"/>
      <c r="AV61" s="6"/>
      <c r="AW61" s="6"/>
      <c r="AX61" s="6"/>
      <c r="AY61" s="6"/>
    </row>
    <row r="62" spans="1:51" x14ac:dyDescent="0.25">
      <c r="A62" s="14"/>
      <c r="B62" s="14"/>
      <c r="C62" s="15"/>
      <c r="D62" s="14"/>
      <c r="E62" s="14" t="s">
        <v>24</v>
      </c>
      <c r="F62" s="15"/>
      <c r="G62" s="15"/>
      <c r="H62" s="14"/>
      <c r="I62" s="15"/>
      <c r="J62" s="14"/>
      <c r="K62" s="14"/>
      <c r="L62" s="15"/>
      <c r="M62" s="15"/>
      <c r="N62" s="15"/>
      <c r="O62" s="15"/>
      <c r="P62" s="15"/>
      <c r="Q62" s="15"/>
      <c r="R62" s="15"/>
      <c r="S62" s="15"/>
      <c r="T62" s="18">
        <f>IF(D62="Res Space Heat",VLOOKUP(K62,#REF!,4)*H62,IF(D62="Res AC",VLOOKUP(K62,#REF!,6)*H62,IF(D62="Res Lighting",VLOOKUP(K62,#REF!,8)*H62,IF(D62="Res Refrigeration",VLOOKUP(K62,#REF!,10)*H62,IF(D62="Res Water Heating",VLOOKUP(K62,#REF!,12)*H62,IF(D62="Res Dishwasher",VLOOKUP(K62,#REF!,14)*H62,IF(D62="Res Washer Dryer",VLOOKUP(K62,#REF!,16)*H62,IF(D62="Res Misc",VLOOKUP(K62,#REF!,18)*H62,IF(D62="Res Furnace Fan",VLOOKUP(K62,#REF!,20)*H62,IF(D62="NonRes Compressed Air",VLOOKUP(K62,#REF!,22)*H62,IF(D62="NonRes Cooking",VLOOKUP(K62,#REF!,24)*H62,IF(D62="NonRes Space Cooling",VLOOKUP(K62,#REF!,26)*H62,IF(D62="NonRes Exterior Lighting",VLOOKUP(K62,#REF!,28)*H62,IF(D62="NonRes Space Heating",VLOOKUP(K62,#REF!,30)*H62,IF(D62="NonRes Water Heating",VLOOKUP(K62,#REF!,32)*H62,IF(D62="NonRes Interior Lighting",VLOOKUP(K62,#REF!,34)*H62,IF(D62="NonRes Misc",VLOOKUP(K62,#REF!,36)*H62,IF(D62="NonRes Motors",VLOOKUP(K62,#REF!,38)*H62,IF(D62="NonRes Office Equipment",VLOOKUP(K62,#REF!,40)*H62,IF(D62="NonRes Process",VLOOKUP(K62,#REF!,42)*H62,IF(D62="NonRes Refrigeration",VLOOKUP(K62,#REF!,44)*H62,IF(D62="NonRes Ventilation",VLOOKUP(K62,#REF!,46)*H62,0))))))))))))))))))))))</f>
        <v>0</v>
      </c>
      <c r="U62" s="18">
        <f>IF(E62="Annual",VLOOKUP(K62,#REF!,4)*'3.6 - Open'!J62,IF(E62="Winter",VLOOKUP('3.6 - Open'!K62,#REF!,5)*'3.6 - Open'!J62,IF(E62="NA",0,0)))</f>
        <v>0</v>
      </c>
      <c r="V62" s="19">
        <f t="shared" si="20"/>
        <v>0</v>
      </c>
      <c r="W62" s="19">
        <f t="shared" si="21"/>
        <v>0</v>
      </c>
      <c r="X62" s="19">
        <f t="shared" si="22"/>
        <v>0</v>
      </c>
      <c r="Y62" s="19">
        <f t="shared" si="23"/>
        <v>0</v>
      </c>
      <c r="Z62" s="20" t="e">
        <f>(T62+U62+(PV(#REF!,'3.6 - Open'!K62,'3.6 - Open'!P62)*-1)+'3.6 - Open'!O62)/'3.6 - Open'!F62</f>
        <v>#REF!</v>
      </c>
      <c r="AA62" s="20" t="e">
        <f t="shared" si="24"/>
        <v>#DIV/0!</v>
      </c>
      <c r="AB62" s="21">
        <f t="shared" si="25"/>
        <v>0</v>
      </c>
      <c r="AC62" s="20">
        <f t="shared" si="26"/>
        <v>0</v>
      </c>
      <c r="AD62" s="20">
        <f t="shared" si="27"/>
        <v>0</v>
      </c>
      <c r="AE62" s="20">
        <f t="shared" si="28"/>
        <v>0</v>
      </c>
      <c r="AF62" s="19">
        <f t="shared" si="29"/>
        <v>0</v>
      </c>
      <c r="AG62" s="19">
        <f t="shared" si="30"/>
        <v>0</v>
      </c>
      <c r="AH62" s="19">
        <f t="shared" si="31"/>
        <v>0</v>
      </c>
      <c r="AI62" s="19">
        <f t="shared" si="32"/>
        <v>0</v>
      </c>
      <c r="AJ62" s="15">
        <v>0</v>
      </c>
      <c r="AK62" s="19">
        <f t="shared" si="15"/>
        <v>0</v>
      </c>
      <c r="AL62" s="19">
        <f t="shared" si="16"/>
        <v>0</v>
      </c>
      <c r="AM62" s="19">
        <f t="shared" si="33"/>
        <v>0</v>
      </c>
      <c r="AN62" s="19" t="e">
        <f t="shared" si="34"/>
        <v>#DIV/0!</v>
      </c>
      <c r="AO62" s="19" t="e">
        <f t="shared" si="17"/>
        <v>#DIV/0!</v>
      </c>
      <c r="AP62" s="18" t="e">
        <f>-PV(#REF!,'3.6 - Open'!K62,'3.6 - Open'!P62)*'3.6 - Open'!B62</f>
        <v>#REF!</v>
      </c>
      <c r="AQ62" s="19" t="e">
        <f t="shared" si="18"/>
        <v>#REF!</v>
      </c>
      <c r="AR62" s="19" t="e">
        <f t="shared" si="19"/>
        <v>#REF!</v>
      </c>
      <c r="AS62" s="18" t="e">
        <f>B62*H62*K62*#REF!</f>
        <v>#REF!</v>
      </c>
      <c r="AT62" s="19" t="e">
        <f>B62*J62*K62*#REF!</f>
        <v>#REF!</v>
      </c>
      <c r="AU62" s="6"/>
      <c r="AV62" s="6"/>
      <c r="AW62" s="6"/>
      <c r="AX62" s="6"/>
      <c r="AY62" s="6"/>
    </row>
    <row r="63" spans="1:51" x14ac:dyDescent="0.25">
      <c r="A63" s="14"/>
      <c r="B63" s="14"/>
      <c r="C63" s="15"/>
      <c r="D63" s="14"/>
      <c r="E63" s="14" t="s">
        <v>24</v>
      </c>
      <c r="F63" s="15"/>
      <c r="G63" s="15"/>
      <c r="H63" s="14"/>
      <c r="I63" s="15"/>
      <c r="J63" s="14"/>
      <c r="K63" s="14"/>
      <c r="L63" s="15"/>
      <c r="M63" s="15"/>
      <c r="N63" s="15"/>
      <c r="O63" s="15"/>
      <c r="P63" s="15"/>
      <c r="Q63" s="15"/>
      <c r="R63" s="15"/>
      <c r="S63" s="15"/>
      <c r="T63" s="18">
        <f>IF(D63="Res Space Heat",VLOOKUP(K63,#REF!,4)*H63,IF(D63="Res AC",VLOOKUP(K63,#REF!,6)*H63,IF(D63="Res Lighting",VLOOKUP(K63,#REF!,8)*H63,IF(D63="Res Refrigeration",VLOOKUP(K63,#REF!,10)*H63,IF(D63="Res Water Heating",VLOOKUP(K63,#REF!,12)*H63,IF(D63="Res Dishwasher",VLOOKUP(K63,#REF!,14)*H63,IF(D63="Res Washer Dryer",VLOOKUP(K63,#REF!,16)*H63,IF(D63="Res Misc",VLOOKUP(K63,#REF!,18)*H63,IF(D63="Res Furnace Fan",VLOOKUP(K63,#REF!,20)*H63,IF(D63="NonRes Compressed Air",VLOOKUP(K63,#REF!,22)*H63,IF(D63="NonRes Cooking",VLOOKUP(K63,#REF!,24)*H63,IF(D63="NonRes Space Cooling",VLOOKUP(K63,#REF!,26)*H63,IF(D63="NonRes Exterior Lighting",VLOOKUP(K63,#REF!,28)*H63,IF(D63="NonRes Space Heating",VLOOKUP(K63,#REF!,30)*H63,IF(D63="NonRes Water Heating",VLOOKUP(K63,#REF!,32)*H63,IF(D63="NonRes Interior Lighting",VLOOKUP(K63,#REF!,34)*H63,IF(D63="NonRes Misc",VLOOKUP(K63,#REF!,36)*H63,IF(D63="NonRes Motors",VLOOKUP(K63,#REF!,38)*H63,IF(D63="NonRes Office Equipment",VLOOKUP(K63,#REF!,40)*H63,IF(D63="NonRes Process",VLOOKUP(K63,#REF!,42)*H63,IF(D63="NonRes Refrigeration",VLOOKUP(K63,#REF!,44)*H63,IF(D63="NonRes Ventilation",VLOOKUP(K63,#REF!,46)*H63,0))))))))))))))))))))))</f>
        <v>0</v>
      </c>
      <c r="U63" s="18">
        <f>IF(E63="Annual",VLOOKUP(K63,#REF!,4)*'3.6 - Open'!J63,IF(E63="Winter",VLOOKUP('3.6 - Open'!K63,#REF!,5)*'3.6 - Open'!J63,IF(E63="NA",0,0)))</f>
        <v>0</v>
      </c>
      <c r="V63" s="19">
        <f t="shared" si="20"/>
        <v>0</v>
      </c>
      <c r="W63" s="19">
        <f t="shared" si="21"/>
        <v>0</v>
      </c>
      <c r="X63" s="19">
        <f t="shared" si="22"/>
        <v>0</v>
      </c>
      <c r="Y63" s="19">
        <f t="shared" si="23"/>
        <v>0</v>
      </c>
      <c r="Z63" s="20" t="e">
        <f>(T63+U63+(PV(#REF!,'3.6 - Open'!K63,'3.6 - Open'!P63)*-1)+'3.6 - Open'!O63)/'3.6 - Open'!F63</f>
        <v>#REF!</v>
      </c>
      <c r="AA63" s="20" t="e">
        <f t="shared" si="24"/>
        <v>#DIV/0!</v>
      </c>
      <c r="AB63" s="21">
        <f t="shared" si="25"/>
        <v>0</v>
      </c>
      <c r="AC63" s="20">
        <f t="shared" si="26"/>
        <v>0</v>
      </c>
      <c r="AD63" s="20">
        <f t="shared" si="27"/>
        <v>0</v>
      </c>
      <c r="AE63" s="20">
        <f t="shared" si="28"/>
        <v>0</v>
      </c>
      <c r="AF63" s="19">
        <f t="shared" si="29"/>
        <v>0</v>
      </c>
      <c r="AG63" s="19">
        <f t="shared" si="30"/>
        <v>0</v>
      </c>
      <c r="AH63" s="19">
        <f t="shared" si="31"/>
        <v>0</v>
      </c>
      <c r="AI63" s="19">
        <f t="shared" si="32"/>
        <v>0</v>
      </c>
      <c r="AJ63" s="15">
        <v>0</v>
      </c>
      <c r="AK63" s="19">
        <f t="shared" si="15"/>
        <v>0</v>
      </c>
      <c r="AL63" s="19">
        <f t="shared" si="16"/>
        <v>0</v>
      </c>
      <c r="AM63" s="19">
        <f t="shared" si="33"/>
        <v>0</v>
      </c>
      <c r="AN63" s="19" t="e">
        <f t="shared" si="34"/>
        <v>#DIV/0!</v>
      </c>
      <c r="AO63" s="19" t="e">
        <f t="shared" si="17"/>
        <v>#DIV/0!</v>
      </c>
      <c r="AP63" s="18" t="e">
        <f>-PV(#REF!,'3.6 - Open'!K63,'3.6 - Open'!P63)*'3.6 - Open'!B63</f>
        <v>#REF!</v>
      </c>
      <c r="AQ63" s="19" t="e">
        <f t="shared" si="18"/>
        <v>#REF!</v>
      </c>
      <c r="AR63" s="19" t="e">
        <f t="shared" si="19"/>
        <v>#REF!</v>
      </c>
      <c r="AS63" s="18" t="e">
        <f>B63*H63*K63*#REF!</f>
        <v>#REF!</v>
      </c>
      <c r="AT63" s="19" t="e">
        <f>B63*J63*K63*#REF!</f>
        <v>#REF!</v>
      </c>
      <c r="AU63" s="6"/>
      <c r="AV63" s="6"/>
      <c r="AW63" s="6"/>
      <c r="AX63" s="6"/>
      <c r="AY63" s="6"/>
    </row>
    <row r="64" spans="1:51" x14ac:dyDescent="0.25">
      <c r="A64" s="14"/>
      <c r="B64" s="14"/>
      <c r="C64" s="15"/>
      <c r="D64" s="14"/>
      <c r="E64" s="14" t="s">
        <v>24</v>
      </c>
      <c r="F64" s="15"/>
      <c r="G64" s="15"/>
      <c r="H64" s="14"/>
      <c r="I64" s="15"/>
      <c r="J64" s="14"/>
      <c r="K64" s="14"/>
      <c r="L64" s="15"/>
      <c r="M64" s="15"/>
      <c r="N64" s="15"/>
      <c r="O64" s="15"/>
      <c r="P64" s="15"/>
      <c r="Q64" s="15"/>
      <c r="R64" s="15"/>
      <c r="S64" s="15"/>
      <c r="T64" s="18">
        <f>IF(D64="Res Space Heat",VLOOKUP(K64,#REF!,4)*H64,IF(D64="Res AC",VLOOKUP(K64,#REF!,6)*H64,IF(D64="Res Lighting",VLOOKUP(K64,#REF!,8)*H64,IF(D64="Res Refrigeration",VLOOKUP(K64,#REF!,10)*H64,IF(D64="Res Water Heating",VLOOKUP(K64,#REF!,12)*H64,IF(D64="Res Dishwasher",VLOOKUP(K64,#REF!,14)*H64,IF(D64="Res Washer Dryer",VLOOKUP(K64,#REF!,16)*H64,IF(D64="Res Misc",VLOOKUP(K64,#REF!,18)*H64,IF(D64="Res Furnace Fan",VLOOKUP(K64,#REF!,20)*H64,IF(D64="NonRes Compressed Air",VLOOKUP(K64,#REF!,22)*H64,IF(D64="NonRes Cooking",VLOOKUP(K64,#REF!,24)*H64,IF(D64="NonRes Space Cooling",VLOOKUP(K64,#REF!,26)*H64,IF(D64="NonRes Exterior Lighting",VLOOKUP(K64,#REF!,28)*H64,IF(D64="NonRes Space Heating",VLOOKUP(K64,#REF!,30)*H64,IF(D64="NonRes Water Heating",VLOOKUP(K64,#REF!,32)*H64,IF(D64="NonRes Interior Lighting",VLOOKUP(K64,#REF!,34)*H64,IF(D64="NonRes Misc",VLOOKUP(K64,#REF!,36)*H64,IF(D64="NonRes Motors",VLOOKUP(K64,#REF!,38)*H64,IF(D64="NonRes Office Equipment",VLOOKUP(K64,#REF!,40)*H64,IF(D64="NonRes Process",VLOOKUP(K64,#REF!,42)*H64,IF(D64="NonRes Refrigeration",VLOOKUP(K64,#REF!,44)*H64,IF(D64="NonRes Ventilation",VLOOKUP(K64,#REF!,46)*H64,0))))))))))))))))))))))</f>
        <v>0</v>
      </c>
      <c r="U64" s="18">
        <f>IF(E64="Annual",VLOOKUP(K64,#REF!,4)*'3.6 - Open'!J64,IF(E64="Winter",VLOOKUP('3.6 - Open'!K64,#REF!,5)*'3.6 - Open'!J64,IF(E64="NA",0,0)))</f>
        <v>0</v>
      </c>
      <c r="V64" s="19">
        <f t="shared" si="20"/>
        <v>0</v>
      </c>
      <c r="W64" s="19">
        <f t="shared" si="21"/>
        <v>0</v>
      </c>
      <c r="X64" s="19">
        <f t="shared" si="22"/>
        <v>0</v>
      </c>
      <c r="Y64" s="19">
        <f t="shared" si="23"/>
        <v>0</v>
      </c>
      <c r="Z64" s="20" t="e">
        <f>(T64+U64+(PV(#REF!,'3.6 - Open'!K64,'3.6 - Open'!P64)*-1)+'3.6 - Open'!O64)/'3.6 - Open'!F64</f>
        <v>#REF!</v>
      </c>
      <c r="AA64" s="20" t="e">
        <f t="shared" si="24"/>
        <v>#DIV/0!</v>
      </c>
      <c r="AB64" s="21">
        <f t="shared" si="25"/>
        <v>0</v>
      </c>
      <c r="AC64" s="20">
        <f t="shared" si="26"/>
        <v>0</v>
      </c>
      <c r="AD64" s="20">
        <f t="shared" si="27"/>
        <v>0</v>
      </c>
      <c r="AE64" s="20">
        <f t="shared" si="28"/>
        <v>0</v>
      </c>
      <c r="AF64" s="19">
        <f t="shared" si="29"/>
        <v>0</v>
      </c>
      <c r="AG64" s="19">
        <f t="shared" si="30"/>
        <v>0</v>
      </c>
      <c r="AH64" s="19">
        <f t="shared" si="31"/>
        <v>0</v>
      </c>
      <c r="AI64" s="19">
        <f t="shared" si="32"/>
        <v>0</v>
      </c>
      <c r="AJ64" s="15">
        <v>0</v>
      </c>
      <c r="AK64" s="19">
        <f t="shared" si="15"/>
        <v>0</v>
      </c>
      <c r="AL64" s="19">
        <f t="shared" si="16"/>
        <v>0</v>
      </c>
      <c r="AM64" s="19">
        <f t="shared" si="33"/>
        <v>0</v>
      </c>
      <c r="AN64" s="19" t="e">
        <f t="shared" si="34"/>
        <v>#DIV/0!</v>
      </c>
      <c r="AO64" s="19" t="e">
        <f t="shared" si="17"/>
        <v>#DIV/0!</v>
      </c>
      <c r="AP64" s="18" t="e">
        <f>-PV(#REF!,'3.6 - Open'!K64,'3.6 - Open'!P64)*'3.6 - Open'!B64</f>
        <v>#REF!</v>
      </c>
      <c r="AQ64" s="19" t="e">
        <f t="shared" si="18"/>
        <v>#REF!</v>
      </c>
      <c r="AR64" s="19" t="e">
        <f t="shared" si="19"/>
        <v>#REF!</v>
      </c>
      <c r="AS64" s="18" t="e">
        <f>B64*H64*K64*#REF!</f>
        <v>#REF!</v>
      </c>
      <c r="AT64" s="19" t="e">
        <f>B64*J64*K64*#REF!</f>
        <v>#REF!</v>
      </c>
      <c r="AU64" s="6"/>
      <c r="AV64" s="6"/>
      <c r="AW64" s="6"/>
      <c r="AX64" s="6"/>
      <c r="AY64" s="6"/>
    </row>
    <row r="65" spans="1:51" x14ac:dyDescent="0.25">
      <c r="A65" s="14"/>
      <c r="B65" s="14"/>
      <c r="C65" s="15"/>
      <c r="D65" s="14"/>
      <c r="E65" s="14" t="s">
        <v>24</v>
      </c>
      <c r="F65" s="15"/>
      <c r="G65" s="15"/>
      <c r="H65" s="14"/>
      <c r="I65" s="15"/>
      <c r="J65" s="14"/>
      <c r="K65" s="14"/>
      <c r="L65" s="15"/>
      <c r="M65" s="15"/>
      <c r="N65" s="15"/>
      <c r="O65" s="15"/>
      <c r="P65" s="15"/>
      <c r="Q65" s="15"/>
      <c r="R65" s="15"/>
      <c r="S65" s="15"/>
      <c r="T65" s="18">
        <f>IF(D65="Res Space Heat",VLOOKUP(K65,#REF!,4)*H65,IF(D65="Res AC",VLOOKUP(K65,#REF!,6)*H65,IF(D65="Res Lighting",VLOOKUP(K65,#REF!,8)*H65,IF(D65="Res Refrigeration",VLOOKUP(K65,#REF!,10)*H65,IF(D65="Res Water Heating",VLOOKUP(K65,#REF!,12)*H65,IF(D65="Res Dishwasher",VLOOKUP(K65,#REF!,14)*H65,IF(D65="Res Washer Dryer",VLOOKUP(K65,#REF!,16)*H65,IF(D65="Res Misc",VLOOKUP(K65,#REF!,18)*H65,IF(D65="Res Furnace Fan",VLOOKUP(K65,#REF!,20)*H65,IF(D65="NonRes Compressed Air",VLOOKUP(K65,#REF!,22)*H65,IF(D65="NonRes Cooking",VLOOKUP(K65,#REF!,24)*H65,IF(D65="NonRes Space Cooling",VLOOKUP(K65,#REF!,26)*H65,IF(D65="NonRes Exterior Lighting",VLOOKUP(K65,#REF!,28)*H65,IF(D65="NonRes Space Heating",VLOOKUP(K65,#REF!,30)*H65,IF(D65="NonRes Water Heating",VLOOKUP(K65,#REF!,32)*H65,IF(D65="NonRes Interior Lighting",VLOOKUP(K65,#REF!,34)*H65,IF(D65="NonRes Misc",VLOOKUP(K65,#REF!,36)*H65,IF(D65="NonRes Motors",VLOOKUP(K65,#REF!,38)*H65,IF(D65="NonRes Office Equipment",VLOOKUP(K65,#REF!,40)*H65,IF(D65="NonRes Process",VLOOKUP(K65,#REF!,42)*H65,IF(D65="NonRes Refrigeration",VLOOKUP(K65,#REF!,44)*H65,IF(D65="NonRes Ventilation",VLOOKUP(K65,#REF!,46)*H65,0))))))))))))))))))))))</f>
        <v>0</v>
      </c>
      <c r="U65" s="18">
        <f>IF(E65="Annual",VLOOKUP(K65,#REF!,4)*'3.6 - Open'!J65,IF(E65="Winter",VLOOKUP('3.6 - Open'!K65,#REF!,5)*'3.6 - Open'!J65,IF(E65="NA",0,0)))</f>
        <v>0</v>
      </c>
      <c r="V65" s="19">
        <f t="shared" si="20"/>
        <v>0</v>
      </c>
      <c r="W65" s="19">
        <f t="shared" si="21"/>
        <v>0</v>
      </c>
      <c r="X65" s="19">
        <f t="shared" si="22"/>
        <v>0</v>
      </c>
      <c r="Y65" s="19">
        <f t="shared" si="23"/>
        <v>0</v>
      </c>
      <c r="Z65" s="20" t="e">
        <f>(T65+U65+(PV(#REF!,'3.6 - Open'!K65,'3.6 - Open'!P65)*-1)+'3.6 - Open'!O65)/'3.6 - Open'!F65</f>
        <v>#REF!</v>
      </c>
      <c r="AA65" s="20" t="e">
        <f t="shared" si="24"/>
        <v>#DIV/0!</v>
      </c>
      <c r="AB65" s="21">
        <f t="shared" si="25"/>
        <v>0</v>
      </c>
      <c r="AC65" s="20">
        <f t="shared" si="26"/>
        <v>0</v>
      </c>
      <c r="AD65" s="20">
        <f t="shared" si="27"/>
        <v>0</v>
      </c>
      <c r="AE65" s="20">
        <f t="shared" si="28"/>
        <v>0</v>
      </c>
      <c r="AF65" s="19">
        <f t="shared" si="29"/>
        <v>0</v>
      </c>
      <c r="AG65" s="19">
        <f t="shared" si="30"/>
        <v>0</v>
      </c>
      <c r="AH65" s="19">
        <f t="shared" si="31"/>
        <v>0</v>
      </c>
      <c r="AI65" s="19">
        <f t="shared" si="32"/>
        <v>0</v>
      </c>
      <c r="AJ65" s="15">
        <v>0</v>
      </c>
      <c r="AK65" s="19">
        <f t="shared" si="15"/>
        <v>0</v>
      </c>
      <c r="AL65" s="19">
        <f t="shared" si="16"/>
        <v>0</v>
      </c>
      <c r="AM65" s="19">
        <f t="shared" si="33"/>
        <v>0</v>
      </c>
      <c r="AN65" s="19" t="e">
        <f t="shared" si="34"/>
        <v>#DIV/0!</v>
      </c>
      <c r="AO65" s="19" t="e">
        <f t="shared" si="17"/>
        <v>#DIV/0!</v>
      </c>
      <c r="AP65" s="18" t="e">
        <f>-PV(#REF!,'3.6 - Open'!K65,'3.6 - Open'!P65)*'3.6 - Open'!B65</f>
        <v>#REF!</v>
      </c>
      <c r="AQ65" s="19" t="e">
        <f t="shared" si="18"/>
        <v>#REF!</v>
      </c>
      <c r="AR65" s="19" t="e">
        <f t="shared" si="19"/>
        <v>#REF!</v>
      </c>
      <c r="AS65" s="18" t="e">
        <f>B65*H65*K65*#REF!</f>
        <v>#REF!</v>
      </c>
      <c r="AT65" s="19" t="e">
        <f>B65*J65*K65*#REF!</f>
        <v>#REF!</v>
      </c>
      <c r="AU65" s="6"/>
      <c r="AV65" s="6"/>
      <c r="AW65" s="6"/>
      <c r="AX65" s="6"/>
      <c r="AY65" s="6"/>
    </row>
    <row r="66" spans="1:51" x14ac:dyDescent="0.25">
      <c r="A66" s="14"/>
      <c r="B66" s="14"/>
      <c r="C66" s="15"/>
      <c r="D66" s="14"/>
      <c r="E66" s="14" t="s">
        <v>24</v>
      </c>
      <c r="F66" s="15"/>
      <c r="G66" s="15"/>
      <c r="H66" s="14"/>
      <c r="I66" s="15"/>
      <c r="J66" s="14"/>
      <c r="K66" s="14"/>
      <c r="L66" s="15"/>
      <c r="M66" s="15"/>
      <c r="N66" s="15"/>
      <c r="O66" s="15"/>
      <c r="P66" s="15"/>
      <c r="Q66" s="15"/>
      <c r="R66" s="15"/>
      <c r="S66" s="15"/>
      <c r="T66" s="18">
        <f>IF(D66="Res Space Heat",VLOOKUP(K66,#REF!,4)*H66,IF(D66="Res AC",VLOOKUP(K66,#REF!,6)*H66,IF(D66="Res Lighting",VLOOKUP(K66,#REF!,8)*H66,IF(D66="Res Refrigeration",VLOOKUP(K66,#REF!,10)*H66,IF(D66="Res Water Heating",VLOOKUP(K66,#REF!,12)*H66,IF(D66="Res Dishwasher",VLOOKUP(K66,#REF!,14)*H66,IF(D66="Res Washer Dryer",VLOOKUP(K66,#REF!,16)*H66,IF(D66="Res Misc",VLOOKUP(K66,#REF!,18)*H66,IF(D66="Res Furnace Fan",VLOOKUP(K66,#REF!,20)*H66,IF(D66="NonRes Compressed Air",VLOOKUP(K66,#REF!,22)*H66,IF(D66="NonRes Cooking",VLOOKUP(K66,#REF!,24)*H66,IF(D66="NonRes Space Cooling",VLOOKUP(K66,#REF!,26)*H66,IF(D66="NonRes Exterior Lighting",VLOOKUP(K66,#REF!,28)*H66,IF(D66="NonRes Space Heating",VLOOKUP(K66,#REF!,30)*H66,IF(D66="NonRes Water Heating",VLOOKUP(K66,#REF!,32)*H66,IF(D66="NonRes Interior Lighting",VLOOKUP(K66,#REF!,34)*H66,IF(D66="NonRes Misc",VLOOKUP(K66,#REF!,36)*H66,IF(D66="NonRes Motors",VLOOKUP(K66,#REF!,38)*H66,IF(D66="NonRes Office Equipment",VLOOKUP(K66,#REF!,40)*H66,IF(D66="NonRes Process",VLOOKUP(K66,#REF!,42)*H66,IF(D66="NonRes Refrigeration",VLOOKUP(K66,#REF!,44)*H66,IF(D66="NonRes Ventilation",VLOOKUP(K66,#REF!,46)*H66,0))))))))))))))))))))))</f>
        <v>0</v>
      </c>
      <c r="U66" s="18">
        <f>IF(E66="Annual",VLOOKUP(K66,#REF!,4)*'3.6 - Open'!J66,IF(E66="Winter",VLOOKUP('3.6 - Open'!K66,#REF!,5)*'3.6 - Open'!J66,IF(E66="NA",0,0)))</f>
        <v>0</v>
      </c>
      <c r="V66" s="19">
        <f t="shared" si="20"/>
        <v>0</v>
      </c>
      <c r="W66" s="19">
        <f t="shared" si="21"/>
        <v>0</v>
      </c>
      <c r="X66" s="19">
        <f t="shared" si="22"/>
        <v>0</v>
      </c>
      <c r="Y66" s="19">
        <f t="shared" si="23"/>
        <v>0</v>
      </c>
      <c r="Z66" s="20" t="e">
        <f>(T66+U66+(PV(#REF!,'3.6 - Open'!K66,'3.6 - Open'!P66)*-1)+'3.6 - Open'!O66)/'3.6 - Open'!F66</f>
        <v>#REF!</v>
      </c>
      <c r="AA66" s="20" t="e">
        <f t="shared" si="24"/>
        <v>#DIV/0!</v>
      </c>
      <c r="AB66" s="21">
        <f t="shared" si="25"/>
        <v>0</v>
      </c>
      <c r="AC66" s="20">
        <f t="shared" si="26"/>
        <v>0</v>
      </c>
      <c r="AD66" s="20">
        <f t="shared" si="27"/>
        <v>0</v>
      </c>
      <c r="AE66" s="20">
        <f t="shared" si="28"/>
        <v>0</v>
      </c>
      <c r="AF66" s="19">
        <f t="shared" si="29"/>
        <v>0</v>
      </c>
      <c r="AG66" s="19">
        <f t="shared" si="30"/>
        <v>0</v>
      </c>
      <c r="AH66" s="19">
        <f t="shared" si="31"/>
        <v>0</v>
      </c>
      <c r="AI66" s="19">
        <f t="shared" si="32"/>
        <v>0</v>
      </c>
      <c r="AJ66" s="15">
        <v>0</v>
      </c>
      <c r="AK66" s="19">
        <f t="shared" si="15"/>
        <v>0</v>
      </c>
      <c r="AL66" s="19">
        <f t="shared" si="16"/>
        <v>0</v>
      </c>
      <c r="AM66" s="19">
        <f t="shared" si="33"/>
        <v>0</v>
      </c>
      <c r="AN66" s="19" t="e">
        <f t="shared" si="34"/>
        <v>#DIV/0!</v>
      </c>
      <c r="AO66" s="19" t="e">
        <f t="shared" si="17"/>
        <v>#DIV/0!</v>
      </c>
      <c r="AP66" s="18" t="e">
        <f>-PV(#REF!,'3.6 - Open'!K66,'3.6 - Open'!P66)*'3.6 - Open'!B66</f>
        <v>#REF!</v>
      </c>
      <c r="AQ66" s="19" t="e">
        <f t="shared" si="18"/>
        <v>#REF!</v>
      </c>
      <c r="AR66" s="19" t="e">
        <f t="shared" si="19"/>
        <v>#REF!</v>
      </c>
      <c r="AS66" s="18" t="e">
        <f>B66*H66*K66*#REF!</f>
        <v>#REF!</v>
      </c>
      <c r="AT66" s="19" t="e">
        <f>B66*J66*K66*#REF!</f>
        <v>#REF!</v>
      </c>
      <c r="AU66" s="6"/>
      <c r="AV66" s="6"/>
      <c r="AW66" s="6"/>
      <c r="AX66" s="6"/>
      <c r="AY66" s="6"/>
    </row>
    <row r="67" spans="1:51" x14ac:dyDescent="0.25">
      <c r="A67" s="14"/>
      <c r="B67" s="14"/>
      <c r="C67" s="15"/>
      <c r="D67" s="14"/>
      <c r="E67" s="14" t="s">
        <v>24</v>
      </c>
      <c r="F67" s="15"/>
      <c r="G67" s="15"/>
      <c r="H67" s="14"/>
      <c r="I67" s="15"/>
      <c r="J67" s="14"/>
      <c r="K67" s="14"/>
      <c r="L67" s="15"/>
      <c r="M67" s="15"/>
      <c r="N67" s="15"/>
      <c r="O67" s="15"/>
      <c r="P67" s="15"/>
      <c r="Q67" s="15"/>
      <c r="R67" s="15"/>
      <c r="S67" s="15"/>
      <c r="T67" s="18">
        <f>IF(D67="Res Space Heat",VLOOKUP(K67,#REF!,4)*H67,IF(D67="Res AC",VLOOKUP(K67,#REF!,6)*H67,IF(D67="Res Lighting",VLOOKUP(K67,#REF!,8)*H67,IF(D67="Res Refrigeration",VLOOKUP(K67,#REF!,10)*H67,IF(D67="Res Water Heating",VLOOKUP(K67,#REF!,12)*H67,IF(D67="Res Dishwasher",VLOOKUP(K67,#REF!,14)*H67,IF(D67="Res Washer Dryer",VLOOKUP(K67,#REF!,16)*H67,IF(D67="Res Misc",VLOOKUP(K67,#REF!,18)*H67,IF(D67="Res Furnace Fan",VLOOKUP(K67,#REF!,20)*H67,IF(D67="NonRes Compressed Air",VLOOKUP(K67,#REF!,22)*H67,IF(D67="NonRes Cooking",VLOOKUP(K67,#REF!,24)*H67,IF(D67="NonRes Space Cooling",VLOOKUP(K67,#REF!,26)*H67,IF(D67="NonRes Exterior Lighting",VLOOKUP(K67,#REF!,28)*H67,IF(D67="NonRes Space Heating",VLOOKUP(K67,#REF!,30)*H67,IF(D67="NonRes Water Heating",VLOOKUP(K67,#REF!,32)*H67,IF(D67="NonRes Interior Lighting",VLOOKUP(K67,#REF!,34)*H67,IF(D67="NonRes Misc",VLOOKUP(K67,#REF!,36)*H67,IF(D67="NonRes Motors",VLOOKUP(K67,#REF!,38)*H67,IF(D67="NonRes Office Equipment",VLOOKUP(K67,#REF!,40)*H67,IF(D67="NonRes Process",VLOOKUP(K67,#REF!,42)*H67,IF(D67="NonRes Refrigeration",VLOOKUP(K67,#REF!,44)*H67,IF(D67="NonRes Ventilation",VLOOKUP(K67,#REF!,46)*H67,0))))))))))))))))))))))</f>
        <v>0</v>
      </c>
      <c r="U67" s="18">
        <f>IF(E67="Annual",VLOOKUP(K67,#REF!,4)*'3.6 - Open'!J67,IF(E67="Winter",VLOOKUP('3.6 - Open'!K67,#REF!,5)*'3.6 - Open'!J67,IF(E67="NA",0,0)))</f>
        <v>0</v>
      </c>
      <c r="V67" s="19">
        <f t="shared" si="20"/>
        <v>0</v>
      </c>
      <c r="W67" s="19">
        <f t="shared" si="21"/>
        <v>0</v>
      </c>
      <c r="X67" s="19">
        <f t="shared" si="22"/>
        <v>0</v>
      </c>
      <c r="Y67" s="19">
        <f t="shared" si="23"/>
        <v>0</v>
      </c>
      <c r="Z67" s="20" t="e">
        <f>(T67+U67+(PV(#REF!,'3.6 - Open'!K67,'3.6 - Open'!P67)*-1)+'3.6 - Open'!O67)/'3.6 - Open'!F67</f>
        <v>#REF!</v>
      </c>
      <c r="AA67" s="20" t="e">
        <f t="shared" si="24"/>
        <v>#DIV/0!</v>
      </c>
      <c r="AB67" s="21">
        <f t="shared" si="25"/>
        <v>0</v>
      </c>
      <c r="AC67" s="20">
        <f t="shared" si="26"/>
        <v>0</v>
      </c>
      <c r="AD67" s="20">
        <f t="shared" si="27"/>
        <v>0</v>
      </c>
      <c r="AE67" s="20">
        <f t="shared" si="28"/>
        <v>0</v>
      </c>
      <c r="AF67" s="19">
        <f t="shared" si="29"/>
        <v>0</v>
      </c>
      <c r="AG67" s="19">
        <f t="shared" si="30"/>
        <v>0</v>
      </c>
      <c r="AH67" s="19">
        <f t="shared" si="31"/>
        <v>0</v>
      </c>
      <c r="AI67" s="19">
        <f t="shared" si="32"/>
        <v>0</v>
      </c>
      <c r="AJ67" s="15">
        <v>0</v>
      </c>
      <c r="AK67" s="19">
        <f t="shared" si="15"/>
        <v>0</v>
      </c>
      <c r="AL67" s="19">
        <f t="shared" si="16"/>
        <v>0</v>
      </c>
      <c r="AM67" s="19">
        <f t="shared" si="33"/>
        <v>0</v>
      </c>
      <c r="AN67" s="19" t="e">
        <f t="shared" si="34"/>
        <v>#DIV/0!</v>
      </c>
      <c r="AO67" s="19" t="e">
        <f t="shared" si="17"/>
        <v>#DIV/0!</v>
      </c>
      <c r="AP67" s="18" t="e">
        <f>-PV(#REF!,'3.6 - Open'!K67,'3.6 - Open'!P67)*'3.6 - Open'!B67</f>
        <v>#REF!</v>
      </c>
      <c r="AQ67" s="19" t="e">
        <f t="shared" si="18"/>
        <v>#REF!</v>
      </c>
      <c r="AR67" s="19" t="e">
        <f t="shared" si="19"/>
        <v>#REF!</v>
      </c>
      <c r="AS67" s="18" t="e">
        <f>B67*H67*K67*#REF!</f>
        <v>#REF!</v>
      </c>
      <c r="AT67" s="19" t="e">
        <f>B67*J67*K67*#REF!</f>
        <v>#REF!</v>
      </c>
      <c r="AU67" s="6"/>
      <c r="AV67" s="6"/>
      <c r="AW67" s="6"/>
      <c r="AX67" s="6"/>
      <c r="AY67" s="6"/>
    </row>
    <row r="68" spans="1:51" x14ac:dyDescent="0.25">
      <c r="A68" s="14"/>
      <c r="B68" s="14"/>
      <c r="C68" s="15"/>
      <c r="D68" s="14"/>
      <c r="E68" s="14" t="s">
        <v>24</v>
      </c>
      <c r="F68" s="15"/>
      <c r="G68" s="15"/>
      <c r="H68" s="14"/>
      <c r="I68" s="15"/>
      <c r="J68" s="14"/>
      <c r="K68" s="14"/>
      <c r="L68" s="15"/>
      <c r="M68" s="15"/>
      <c r="N68" s="15"/>
      <c r="O68" s="15"/>
      <c r="P68" s="15"/>
      <c r="Q68" s="15"/>
      <c r="R68" s="15"/>
      <c r="S68" s="15"/>
      <c r="T68" s="18">
        <f>IF(D68="Res Space Heat",VLOOKUP(K68,#REF!,4)*H68,IF(D68="Res AC",VLOOKUP(K68,#REF!,6)*H68,IF(D68="Res Lighting",VLOOKUP(K68,#REF!,8)*H68,IF(D68="Res Refrigeration",VLOOKUP(K68,#REF!,10)*H68,IF(D68="Res Water Heating",VLOOKUP(K68,#REF!,12)*H68,IF(D68="Res Dishwasher",VLOOKUP(K68,#REF!,14)*H68,IF(D68="Res Washer Dryer",VLOOKUP(K68,#REF!,16)*H68,IF(D68="Res Misc",VLOOKUP(K68,#REF!,18)*H68,IF(D68="Res Furnace Fan",VLOOKUP(K68,#REF!,20)*H68,IF(D68="NonRes Compressed Air",VLOOKUP(K68,#REF!,22)*H68,IF(D68="NonRes Cooking",VLOOKUP(K68,#REF!,24)*H68,IF(D68="NonRes Space Cooling",VLOOKUP(K68,#REF!,26)*H68,IF(D68="NonRes Exterior Lighting",VLOOKUP(K68,#REF!,28)*H68,IF(D68="NonRes Space Heating",VLOOKUP(K68,#REF!,30)*H68,IF(D68="NonRes Water Heating",VLOOKUP(K68,#REF!,32)*H68,IF(D68="NonRes Interior Lighting",VLOOKUP(K68,#REF!,34)*H68,IF(D68="NonRes Misc",VLOOKUP(K68,#REF!,36)*H68,IF(D68="NonRes Motors",VLOOKUP(K68,#REF!,38)*H68,IF(D68="NonRes Office Equipment",VLOOKUP(K68,#REF!,40)*H68,IF(D68="NonRes Process",VLOOKUP(K68,#REF!,42)*H68,IF(D68="NonRes Refrigeration",VLOOKUP(K68,#REF!,44)*H68,IF(D68="NonRes Ventilation",VLOOKUP(K68,#REF!,46)*H68,0))))))))))))))))))))))</f>
        <v>0</v>
      </c>
      <c r="U68" s="18">
        <f>IF(E68="Annual",VLOOKUP(K68,#REF!,4)*'3.6 - Open'!J68,IF(E68="Winter",VLOOKUP('3.6 - Open'!K68,#REF!,5)*'3.6 - Open'!J68,IF(E68="NA",0,0)))</f>
        <v>0</v>
      </c>
      <c r="V68" s="19">
        <f t="shared" ref="V68:V102" si="35">F68</f>
        <v>0</v>
      </c>
      <c r="W68" s="19">
        <f t="shared" ref="W68:W99" si="36">F68-V68</f>
        <v>0</v>
      </c>
      <c r="X68" s="19">
        <f t="shared" ref="X68:X102" si="37">M68</f>
        <v>0</v>
      </c>
      <c r="Y68" s="19">
        <f t="shared" ref="Y68:Y99" si="38">M68-X68</f>
        <v>0</v>
      </c>
      <c r="Z68" s="20" t="e">
        <f>(T68+U68+(PV(#REF!,'3.6 - Open'!K68,'3.6 - Open'!P68)*-1)+'3.6 - Open'!O68)/'3.6 - Open'!F68</f>
        <v>#REF!</v>
      </c>
      <c r="AA68" s="20" t="e">
        <f t="shared" ref="AA68:AA102" si="39">((T68+U68)/M68)</f>
        <v>#DIV/0!</v>
      </c>
      <c r="AB68" s="21">
        <f t="shared" ref="AB68:AB102" si="40">H68*B68</f>
        <v>0</v>
      </c>
      <c r="AC68" s="20">
        <f t="shared" ref="AC68:AC102" si="41">J68*B68</f>
        <v>0</v>
      </c>
      <c r="AD68" s="20">
        <f t="shared" ref="AD68:AD102" si="42">T68*B68</f>
        <v>0</v>
      </c>
      <c r="AE68" s="20">
        <f t="shared" ref="AE68:AE102" si="43">U68*B68</f>
        <v>0</v>
      </c>
      <c r="AF68" s="19">
        <f t="shared" ref="AF68:AF102" si="44">B68*V68</f>
        <v>0</v>
      </c>
      <c r="AG68" s="19">
        <f t="shared" ref="AG68:AG102" si="45">W68*B68</f>
        <v>0</v>
      </c>
      <c r="AH68" s="19">
        <f t="shared" ref="AH68:AH102" si="46">B68*X68</f>
        <v>0</v>
      </c>
      <c r="AI68" s="19">
        <f t="shared" ref="AI68:AI102" si="47">B68*Y68</f>
        <v>0</v>
      </c>
      <c r="AJ68" s="15">
        <v>0</v>
      </c>
      <c r="AK68" s="19">
        <f t="shared" si="15"/>
        <v>0</v>
      </c>
      <c r="AL68" s="19">
        <f t="shared" si="16"/>
        <v>0</v>
      </c>
      <c r="AM68" s="19">
        <f t="shared" ref="AM68:AM102" si="48">O68*B68</f>
        <v>0</v>
      </c>
      <c r="AN68" s="19" t="e">
        <f t="shared" ref="AN68:AN99" si="49">IF(J68&lt;0,O68*B68,AM68*(T68/(T68+U68)))</f>
        <v>#DIV/0!</v>
      </c>
      <c r="AO68" s="19" t="e">
        <f t="shared" si="17"/>
        <v>#DIV/0!</v>
      </c>
      <c r="AP68" s="18" t="e">
        <f>-PV(#REF!,'3.6 - Open'!K68,'3.6 - Open'!P68)*'3.6 - Open'!B68</f>
        <v>#REF!</v>
      </c>
      <c r="AQ68" s="19" t="e">
        <f t="shared" si="18"/>
        <v>#REF!</v>
      </c>
      <c r="AR68" s="19" t="e">
        <f t="shared" si="19"/>
        <v>#REF!</v>
      </c>
      <c r="AS68" s="18" t="e">
        <f>B68*H68*K68*#REF!</f>
        <v>#REF!</v>
      </c>
      <c r="AT68" s="19" t="e">
        <f>B68*J68*K68*#REF!</f>
        <v>#REF!</v>
      </c>
      <c r="AU68" s="6"/>
      <c r="AV68" s="6"/>
      <c r="AW68" s="6"/>
      <c r="AX68" s="6"/>
      <c r="AY68" s="6"/>
    </row>
    <row r="69" spans="1:51" x14ac:dyDescent="0.25">
      <c r="A69" s="14"/>
      <c r="B69" s="14"/>
      <c r="C69" s="15"/>
      <c r="D69" s="14"/>
      <c r="E69" s="14" t="s">
        <v>24</v>
      </c>
      <c r="F69" s="15"/>
      <c r="G69" s="15"/>
      <c r="H69" s="14"/>
      <c r="I69" s="15"/>
      <c r="J69" s="14"/>
      <c r="K69" s="14"/>
      <c r="L69" s="15"/>
      <c r="M69" s="15"/>
      <c r="N69" s="15"/>
      <c r="O69" s="15"/>
      <c r="P69" s="15"/>
      <c r="Q69" s="15"/>
      <c r="R69" s="15"/>
      <c r="S69" s="15"/>
      <c r="T69" s="18">
        <f>IF(D69="Res Space Heat",VLOOKUP(K69,#REF!,4)*H69,IF(D69="Res AC",VLOOKUP(K69,#REF!,6)*H69,IF(D69="Res Lighting",VLOOKUP(K69,#REF!,8)*H69,IF(D69="Res Refrigeration",VLOOKUP(K69,#REF!,10)*H69,IF(D69="Res Water Heating",VLOOKUP(K69,#REF!,12)*H69,IF(D69="Res Dishwasher",VLOOKUP(K69,#REF!,14)*H69,IF(D69="Res Washer Dryer",VLOOKUP(K69,#REF!,16)*H69,IF(D69="Res Misc",VLOOKUP(K69,#REF!,18)*H69,IF(D69="Res Furnace Fan",VLOOKUP(K69,#REF!,20)*H69,IF(D69="NonRes Compressed Air",VLOOKUP(K69,#REF!,22)*H69,IF(D69="NonRes Cooking",VLOOKUP(K69,#REF!,24)*H69,IF(D69="NonRes Space Cooling",VLOOKUP(K69,#REF!,26)*H69,IF(D69="NonRes Exterior Lighting",VLOOKUP(K69,#REF!,28)*H69,IF(D69="NonRes Space Heating",VLOOKUP(K69,#REF!,30)*H69,IF(D69="NonRes Water Heating",VLOOKUP(K69,#REF!,32)*H69,IF(D69="NonRes Interior Lighting",VLOOKUP(K69,#REF!,34)*H69,IF(D69="NonRes Misc",VLOOKUP(K69,#REF!,36)*H69,IF(D69="NonRes Motors",VLOOKUP(K69,#REF!,38)*H69,IF(D69="NonRes Office Equipment",VLOOKUP(K69,#REF!,40)*H69,IF(D69="NonRes Process",VLOOKUP(K69,#REF!,42)*H69,IF(D69="NonRes Refrigeration",VLOOKUP(K69,#REF!,44)*H69,IF(D69="NonRes Ventilation",VLOOKUP(K69,#REF!,46)*H69,0))))))))))))))))))))))</f>
        <v>0</v>
      </c>
      <c r="U69" s="18">
        <f>IF(E69="Annual",VLOOKUP(K69,#REF!,4)*'3.6 - Open'!J69,IF(E69="Winter",VLOOKUP('3.6 - Open'!K69,#REF!,5)*'3.6 - Open'!J69,IF(E69="NA",0,0)))</f>
        <v>0</v>
      </c>
      <c r="V69" s="19">
        <f t="shared" si="35"/>
        <v>0</v>
      </c>
      <c r="W69" s="19">
        <f t="shared" si="36"/>
        <v>0</v>
      </c>
      <c r="X69" s="19">
        <f t="shared" si="37"/>
        <v>0</v>
      </c>
      <c r="Y69" s="19">
        <f t="shared" si="38"/>
        <v>0</v>
      </c>
      <c r="Z69" s="20" t="e">
        <f>(T69+U69+(PV(#REF!,'3.6 - Open'!K69,'3.6 - Open'!P69)*-1)+'3.6 - Open'!O69)/'3.6 - Open'!F69</f>
        <v>#REF!</v>
      </c>
      <c r="AA69" s="20" t="e">
        <f t="shared" si="39"/>
        <v>#DIV/0!</v>
      </c>
      <c r="AB69" s="21">
        <f t="shared" si="40"/>
        <v>0</v>
      </c>
      <c r="AC69" s="20">
        <f t="shared" si="41"/>
        <v>0</v>
      </c>
      <c r="AD69" s="20">
        <f t="shared" si="42"/>
        <v>0</v>
      </c>
      <c r="AE69" s="20">
        <f t="shared" si="43"/>
        <v>0</v>
      </c>
      <c r="AF69" s="19">
        <f t="shared" si="44"/>
        <v>0</v>
      </c>
      <c r="AG69" s="19">
        <f t="shared" si="45"/>
        <v>0</v>
      </c>
      <c r="AH69" s="19">
        <f t="shared" si="46"/>
        <v>0</v>
      </c>
      <c r="AI69" s="19">
        <f t="shared" si="47"/>
        <v>0</v>
      </c>
      <c r="AJ69" s="15">
        <v>0</v>
      </c>
      <c r="AK69" s="19">
        <f t="shared" ref="AK69:AK103" si="50">IF(AC69&gt;0,AJ69*(T69/(T69+U69)),AJ69)</f>
        <v>0</v>
      </c>
      <c r="AL69" s="19">
        <f t="shared" ref="AL69:AL102" si="51">AJ69-AK69</f>
        <v>0</v>
      </c>
      <c r="AM69" s="19">
        <f t="shared" si="48"/>
        <v>0</v>
      </c>
      <c r="AN69" s="19" t="e">
        <f t="shared" si="49"/>
        <v>#DIV/0!</v>
      </c>
      <c r="AO69" s="19" t="e">
        <f t="shared" ref="AO69:AO102" si="52">AM69-AN69</f>
        <v>#DIV/0!</v>
      </c>
      <c r="AP69" s="18" t="e">
        <f>-PV(#REF!,'3.6 - Open'!K69,'3.6 - Open'!P69)*'3.6 - Open'!B69</f>
        <v>#REF!</v>
      </c>
      <c r="AQ69" s="19" t="e">
        <f t="shared" ref="AQ69:AQ102" si="53">AP69*(T69/(T69+U69))</f>
        <v>#REF!</v>
      </c>
      <c r="AR69" s="19" t="e">
        <f t="shared" ref="AR69:AR102" si="54">AP69-AQ69</f>
        <v>#REF!</v>
      </c>
      <c r="AS69" s="18" t="e">
        <f>B69*H69*K69*#REF!</f>
        <v>#REF!</v>
      </c>
      <c r="AT69" s="19" t="e">
        <f>B69*J69*K69*#REF!</f>
        <v>#REF!</v>
      </c>
      <c r="AU69" s="6"/>
      <c r="AV69" s="6"/>
      <c r="AW69" s="6"/>
      <c r="AX69" s="6"/>
      <c r="AY69" s="6"/>
    </row>
    <row r="70" spans="1:51" x14ac:dyDescent="0.25">
      <c r="A70" s="14"/>
      <c r="B70" s="14"/>
      <c r="C70" s="15"/>
      <c r="D70" s="14"/>
      <c r="E70" s="14" t="s">
        <v>24</v>
      </c>
      <c r="F70" s="15"/>
      <c r="G70" s="15"/>
      <c r="H70" s="14"/>
      <c r="I70" s="15"/>
      <c r="J70" s="14"/>
      <c r="K70" s="14"/>
      <c r="L70" s="15"/>
      <c r="M70" s="15"/>
      <c r="N70" s="15"/>
      <c r="O70" s="15"/>
      <c r="P70" s="15"/>
      <c r="Q70" s="15"/>
      <c r="R70" s="15"/>
      <c r="S70" s="15"/>
      <c r="T70" s="18">
        <f>IF(D70="Res Space Heat",VLOOKUP(K70,#REF!,4)*H70,IF(D70="Res AC",VLOOKUP(K70,#REF!,6)*H70,IF(D70="Res Lighting",VLOOKUP(K70,#REF!,8)*H70,IF(D70="Res Refrigeration",VLOOKUP(K70,#REF!,10)*H70,IF(D70="Res Water Heating",VLOOKUP(K70,#REF!,12)*H70,IF(D70="Res Dishwasher",VLOOKUP(K70,#REF!,14)*H70,IF(D70="Res Washer Dryer",VLOOKUP(K70,#REF!,16)*H70,IF(D70="Res Misc",VLOOKUP(K70,#REF!,18)*H70,IF(D70="Res Furnace Fan",VLOOKUP(K70,#REF!,20)*H70,IF(D70="NonRes Compressed Air",VLOOKUP(K70,#REF!,22)*H70,IF(D70="NonRes Cooking",VLOOKUP(K70,#REF!,24)*H70,IF(D70="NonRes Space Cooling",VLOOKUP(K70,#REF!,26)*H70,IF(D70="NonRes Exterior Lighting",VLOOKUP(K70,#REF!,28)*H70,IF(D70="NonRes Space Heating",VLOOKUP(K70,#REF!,30)*H70,IF(D70="NonRes Water Heating",VLOOKUP(K70,#REF!,32)*H70,IF(D70="NonRes Interior Lighting",VLOOKUP(K70,#REF!,34)*H70,IF(D70="NonRes Misc",VLOOKUP(K70,#REF!,36)*H70,IF(D70="NonRes Motors",VLOOKUP(K70,#REF!,38)*H70,IF(D70="NonRes Office Equipment",VLOOKUP(K70,#REF!,40)*H70,IF(D70="NonRes Process",VLOOKUP(K70,#REF!,42)*H70,IF(D70="NonRes Refrigeration",VLOOKUP(K70,#REF!,44)*H70,IF(D70="NonRes Ventilation",VLOOKUP(K70,#REF!,46)*H70,0))))))))))))))))))))))</f>
        <v>0</v>
      </c>
      <c r="U70" s="18">
        <f>IF(E70="Annual",VLOOKUP(K70,#REF!,4)*'3.6 - Open'!J70,IF(E70="Winter",VLOOKUP('3.6 - Open'!K70,#REF!,5)*'3.6 - Open'!J70,IF(E70="NA",0,0)))</f>
        <v>0</v>
      </c>
      <c r="V70" s="19">
        <f t="shared" si="35"/>
        <v>0</v>
      </c>
      <c r="W70" s="19">
        <f t="shared" si="36"/>
        <v>0</v>
      </c>
      <c r="X70" s="19">
        <f t="shared" si="37"/>
        <v>0</v>
      </c>
      <c r="Y70" s="19">
        <f t="shared" si="38"/>
        <v>0</v>
      </c>
      <c r="Z70" s="20" t="e">
        <f>(T70+U70+(PV(#REF!,'3.6 - Open'!K70,'3.6 - Open'!P70)*-1)+'3.6 - Open'!O70)/'3.6 - Open'!F70</f>
        <v>#REF!</v>
      </c>
      <c r="AA70" s="20" t="e">
        <f t="shared" si="39"/>
        <v>#DIV/0!</v>
      </c>
      <c r="AB70" s="21">
        <f t="shared" si="40"/>
        <v>0</v>
      </c>
      <c r="AC70" s="20">
        <f t="shared" si="41"/>
        <v>0</v>
      </c>
      <c r="AD70" s="20">
        <f t="shared" si="42"/>
        <v>0</v>
      </c>
      <c r="AE70" s="20">
        <f t="shared" si="43"/>
        <v>0</v>
      </c>
      <c r="AF70" s="19">
        <f t="shared" si="44"/>
        <v>0</v>
      </c>
      <c r="AG70" s="19">
        <f t="shared" si="45"/>
        <v>0</v>
      </c>
      <c r="AH70" s="19">
        <f t="shared" si="46"/>
        <v>0</v>
      </c>
      <c r="AI70" s="19">
        <f t="shared" si="47"/>
        <v>0</v>
      </c>
      <c r="AJ70" s="15">
        <v>0</v>
      </c>
      <c r="AK70" s="19">
        <f t="shared" si="50"/>
        <v>0</v>
      </c>
      <c r="AL70" s="19">
        <f t="shared" si="51"/>
        <v>0</v>
      </c>
      <c r="AM70" s="19">
        <f t="shared" si="48"/>
        <v>0</v>
      </c>
      <c r="AN70" s="19" t="e">
        <f t="shared" si="49"/>
        <v>#DIV/0!</v>
      </c>
      <c r="AO70" s="19" t="e">
        <f t="shared" si="52"/>
        <v>#DIV/0!</v>
      </c>
      <c r="AP70" s="18" t="e">
        <f>-PV(#REF!,'3.6 - Open'!K70,'3.6 - Open'!P70)*'3.6 - Open'!B70</f>
        <v>#REF!</v>
      </c>
      <c r="AQ70" s="19" t="e">
        <f t="shared" si="53"/>
        <v>#REF!</v>
      </c>
      <c r="AR70" s="19" t="e">
        <f t="shared" si="54"/>
        <v>#REF!</v>
      </c>
      <c r="AS70" s="18" t="e">
        <f>B70*H70*K70*#REF!</f>
        <v>#REF!</v>
      </c>
      <c r="AT70" s="19" t="e">
        <f>B70*J70*K70*#REF!</f>
        <v>#REF!</v>
      </c>
      <c r="AU70" s="6"/>
      <c r="AV70" s="6"/>
      <c r="AW70" s="6"/>
      <c r="AX70" s="6"/>
      <c r="AY70" s="6"/>
    </row>
    <row r="71" spans="1:51" x14ac:dyDescent="0.25">
      <c r="A71" s="14"/>
      <c r="B71" s="14"/>
      <c r="C71" s="15"/>
      <c r="D71" s="14"/>
      <c r="E71" s="14" t="s">
        <v>24</v>
      </c>
      <c r="F71" s="15"/>
      <c r="G71" s="15"/>
      <c r="H71" s="14"/>
      <c r="I71" s="15"/>
      <c r="J71" s="14"/>
      <c r="K71" s="14"/>
      <c r="L71" s="15"/>
      <c r="M71" s="15"/>
      <c r="N71" s="15"/>
      <c r="O71" s="15"/>
      <c r="P71" s="15"/>
      <c r="Q71" s="15"/>
      <c r="R71" s="15"/>
      <c r="S71" s="15"/>
      <c r="T71" s="18">
        <f>IF(D71="Res Space Heat",VLOOKUP(K71,#REF!,4)*H71,IF(D71="Res AC",VLOOKUP(K71,#REF!,6)*H71,IF(D71="Res Lighting",VLOOKUP(K71,#REF!,8)*H71,IF(D71="Res Refrigeration",VLOOKUP(K71,#REF!,10)*H71,IF(D71="Res Water Heating",VLOOKUP(K71,#REF!,12)*H71,IF(D71="Res Dishwasher",VLOOKUP(K71,#REF!,14)*H71,IF(D71="Res Washer Dryer",VLOOKUP(K71,#REF!,16)*H71,IF(D71="Res Misc",VLOOKUP(K71,#REF!,18)*H71,IF(D71="Res Furnace Fan",VLOOKUP(K71,#REF!,20)*H71,IF(D71="NonRes Compressed Air",VLOOKUP(K71,#REF!,22)*H71,IF(D71="NonRes Cooking",VLOOKUP(K71,#REF!,24)*H71,IF(D71="NonRes Space Cooling",VLOOKUP(K71,#REF!,26)*H71,IF(D71="NonRes Exterior Lighting",VLOOKUP(K71,#REF!,28)*H71,IF(D71="NonRes Space Heating",VLOOKUP(K71,#REF!,30)*H71,IF(D71="NonRes Water Heating",VLOOKUP(K71,#REF!,32)*H71,IF(D71="NonRes Interior Lighting",VLOOKUP(K71,#REF!,34)*H71,IF(D71="NonRes Misc",VLOOKUP(K71,#REF!,36)*H71,IF(D71="NonRes Motors",VLOOKUP(K71,#REF!,38)*H71,IF(D71="NonRes Office Equipment",VLOOKUP(K71,#REF!,40)*H71,IF(D71="NonRes Process",VLOOKUP(K71,#REF!,42)*H71,IF(D71="NonRes Refrigeration",VLOOKUP(K71,#REF!,44)*H71,IF(D71="NonRes Ventilation",VLOOKUP(K71,#REF!,46)*H71,0))))))))))))))))))))))</f>
        <v>0</v>
      </c>
      <c r="U71" s="18">
        <f>IF(E71="Annual",VLOOKUP(K71,#REF!,4)*'3.6 - Open'!J71,IF(E71="Winter",VLOOKUP('3.6 - Open'!K71,#REF!,5)*'3.6 - Open'!J71,IF(E71="NA",0,0)))</f>
        <v>0</v>
      </c>
      <c r="V71" s="19">
        <f t="shared" si="35"/>
        <v>0</v>
      </c>
      <c r="W71" s="19">
        <f t="shared" si="36"/>
        <v>0</v>
      </c>
      <c r="X71" s="19">
        <f t="shared" si="37"/>
        <v>0</v>
      </c>
      <c r="Y71" s="19">
        <f t="shared" si="38"/>
        <v>0</v>
      </c>
      <c r="Z71" s="20" t="e">
        <f>(T71+U71+(PV(#REF!,'3.6 - Open'!K71,'3.6 - Open'!P71)*-1)+'3.6 - Open'!O71)/'3.6 - Open'!F71</f>
        <v>#REF!</v>
      </c>
      <c r="AA71" s="20" t="e">
        <f t="shared" si="39"/>
        <v>#DIV/0!</v>
      </c>
      <c r="AB71" s="21">
        <f t="shared" si="40"/>
        <v>0</v>
      </c>
      <c r="AC71" s="20">
        <f t="shared" si="41"/>
        <v>0</v>
      </c>
      <c r="AD71" s="20">
        <f t="shared" si="42"/>
        <v>0</v>
      </c>
      <c r="AE71" s="20">
        <f t="shared" si="43"/>
        <v>0</v>
      </c>
      <c r="AF71" s="19">
        <f t="shared" si="44"/>
        <v>0</v>
      </c>
      <c r="AG71" s="19">
        <f t="shared" si="45"/>
        <v>0</v>
      </c>
      <c r="AH71" s="19">
        <f t="shared" si="46"/>
        <v>0</v>
      </c>
      <c r="AI71" s="19">
        <f t="shared" si="47"/>
        <v>0</v>
      </c>
      <c r="AJ71" s="15">
        <v>0</v>
      </c>
      <c r="AK71" s="19">
        <f t="shared" si="50"/>
        <v>0</v>
      </c>
      <c r="AL71" s="19">
        <f t="shared" si="51"/>
        <v>0</v>
      </c>
      <c r="AM71" s="19">
        <f t="shared" si="48"/>
        <v>0</v>
      </c>
      <c r="AN71" s="19" t="e">
        <f t="shared" si="49"/>
        <v>#DIV/0!</v>
      </c>
      <c r="AO71" s="19" t="e">
        <f t="shared" si="52"/>
        <v>#DIV/0!</v>
      </c>
      <c r="AP71" s="18" t="e">
        <f>-PV(#REF!,'3.6 - Open'!K71,'3.6 - Open'!P71)*'3.6 - Open'!B71</f>
        <v>#REF!</v>
      </c>
      <c r="AQ71" s="19" t="e">
        <f t="shared" si="53"/>
        <v>#REF!</v>
      </c>
      <c r="AR71" s="19" t="e">
        <f t="shared" si="54"/>
        <v>#REF!</v>
      </c>
      <c r="AS71" s="18" t="e">
        <f>B71*H71*K71*#REF!</f>
        <v>#REF!</v>
      </c>
      <c r="AT71" s="19" t="e">
        <f>B71*J71*K71*#REF!</f>
        <v>#REF!</v>
      </c>
      <c r="AU71" s="6"/>
      <c r="AV71" s="6"/>
      <c r="AW71" s="6"/>
      <c r="AX71" s="6"/>
      <c r="AY71" s="6"/>
    </row>
    <row r="72" spans="1:51" x14ac:dyDescent="0.25">
      <c r="A72" s="14"/>
      <c r="B72" s="14"/>
      <c r="C72" s="15"/>
      <c r="D72" s="14"/>
      <c r="E72" s="14" t="s">
        <v>24</v>
      </c>
      <c r="F72" s="15"/>
      <c r="G72" s="15"/>
      <c r="H72" s="14"/>
      <c r="I72" s="15"/>
      <c r="J72" s="14"/>
      <c r="K72" s="14"/>
      <c r="L72" s="15"/>
      <c r="M72" s="15"/>
      <c r="N72" s="15"/>
      <c r="O72" s="15"/>
      <c r="P72" s="15"/>
      <c r="Q72" s="15"/>
      <c r="R72" s="15"/>
      <c r="S72" s="15"/>
      <c r="T72" s="18">
        <f>IF(D72="Res Space Heat",VLOOKUP(K72,#REF!,4)*H72,IF(D72="Res AC",VLOOKUP(K72,#REF!,6)*H72,IF(D72="Res Lighting",VLOOKUP(K72,#REF!,8)*H72,IF(D72="Res Refrigeration",VLOOKUP(K72,#REF!,10)*H72,IF(D72="Res Water Heating",VLOOKUP(K72,#REF!,12)*H72,IF(D72="Res Dishwasher",VLOOKUP(K72,#REF!,14)*H72,IF(D72="Res Washer Dryer",VLOOKUP(K72,#REF!,16)*H72,IF(D72="Res Misc",VLOOKUP(K72,#REF!,18)*H72,IF(D72="Res Furnace Fan",VLOOKUP(K72,#REF!,20)*H72,IF(D72="NonRes Compressed Air",VLOOKUP(K72,#REF!,22)*H72,IF(D72="NonRes Cooking",VLOOKUP(K72,#REF!,24)*H72,IF(D72="NonRes Space Cooling",VLOOKUP(K72,#REF!,26)*H72,IF(D72="NonRes Exterior Lighting",VLOOKUP(K72,#REF!,28)*H72,IF(D72="NonRes Space Heating",VLOOKUP(K72,#REF!,30)*H72,IF(D72="NonRes Water Heating",VLOOKUP(K72,#REF!,32)*H72,IF(D72="NonRes Interior Lighting",VLOOKUP(K72,#REF!,34)*H72,IF(D72="NonRes Misc",VLOOKUP(K72,#REF!,36)*H72,IF(D72="NonRes Motors",VLOOKUP(K72,#REF!,38)*H72,IF(D72="NonRes Office Equipment",VLOOKUP(K72,#REF!,40)*H72,IF(D72="NonRes Process",VLOOKUP(K72,#REF!,42)*H72,IF(D72="NonRes Refrigeration",VLOOKUP(K72,#REF!,44)*H72,IF(D72="NonRes Ventilation",VLOOKUP(K72,#REF!,46)*H72,0))))))))))))))))))))))</f>
        <v>0</v>
      </c>
      <c r="U72" s="18">
        <f>IF(E72="Annual",VLOOKUP(K72,#REF!,4)*'3.6 - Open'!J72,IF(E72="Winter",VLOOKUP('3.6 - Open'!K72,#REF!,5)*'3.6 - Open'!J72,IF(E72="NA",0,0)))</f>
        <v>0</v>
      </c>
      <c r="V72" s="19">
        <f t="shared" si="35"/>
        <v>0</v>
      </c>
      <c r="W72" s="19">
        <f t="shared" si="36"/>
        <v>0</v>
      </c>
      <c r="X72" s="19">
        <f t="shared" si="37"/>
        <v>0</v>
      </c>
      <c r="Y72" s="19">
        <f t="shared" si="38"/>
        <v>0</v>
      </c>
      <c r="Z72" s="20" t="e">
        <f>(T72+U72+(PV(#REF!,'3.6 - Open'!K72,'3.6 - Open'!P72)*-1)+'3.6 - Open'!O72)/'3.6 - Open'!F72</f>
        <v>#REF!</v>
      </c>
      <c r="AA72" s="20" t="e">
        <f t="shared" si="39"/>
        <v>#DIV/0!</v>
      </c>
      <c r="AB72" s="21">
        <f t="shared" si="40"/>
        <v>0</v>
      </c>
      <c r="AC72" s="20">
        <f t="shared" si="41"/>
        <v>0</v>
      </c>
      <c r="AD72" s="20">
        <f t="shared" si="42"/>
        <v>0</v>
      </c>
      <c r="AE72" s="20">
        <f t="shared" si="43"/>
        <v>0</v>
      </c>
      <c r="AF72" s="19">
        <f t="shared" si="44"/>
        <v>0</v>
      </c>
      <c r="AG72" s="19">
        <f t="shared" si="45"/>
        <v>0</v>
      </c>
      <c r="AH72" s="19">
        <f t="shared" si="46"/>
        <v>0</v>
      </c>
      <c r="AI72" s="19">
        <f t="shared" si="47"/>
        <v>0</v>
      </c>
      <c r="AJ72" s="15">
        <v>0</v>
      </c>
      <c r="AK72" s="19">
        <f t="shared" si="50"/>
        <v>0</v>
      </c>
      <c r="AL72" s="19">
        <f t="shared" si="51"/>
        <v>0</v>
      </c>
      <c r="AM72" s="19">
        <f t="shared" si="48"/>
        <v>0</v>
      </c>
      <c r="AN72" s="19" t="e">
        <f t="shared" si="49"/>
        <v>#DIV/0!</v>
      </c>
      <c r="AO72" s="19" t="e">
        <f t="shared" si="52"/>
        <v>#DIV/0!</v>
      </c>
      <c r="AP72" s="18" t="e">
        <f>-PV(#REF!,'3.6 - Open'!K72,'3.6 - Open'!P72)*'3.6 - Open'!B72</f>
        <v>#REF!</v>
      </c>
      <c r="AQ72" s="19" t="e">
        <f t="shared" si="53"/>
        <v>#REF!</v>
      </c>
      <c r="AR72" s="19" t="e">
        <f t="shared" si="54"/>
        <v>#REF!</v>
      </c>
      <c r="AS72" s="18" t="e">
        <f>B72*H72*K72*#REF!</f>
        <v>#REF!</v>
      </c>
      <c r="AT72" s="19" t="e">
        <f>B72*J72*K72*#REF!</f>
        <v>#REF!</v>
      </c>
      <c r="AU72" s="6"/>
      <c r="AV72" s="6"/>
      <c r="AW72" s="6"/>
      <c r="AX72" s="6"/>
      <c r="AY72" s="6"/>
    </row>
    <row r="73" spans="1:51" x14ac:dyDescent="0.25">
      <c r="A73" s="14"/>
      <c r="B73" s="14"/>
      <c r="C73" s="15"/>
      <c r="D73" s="14"/>
      <c r="E73" s="14" t="s">
        <v>24</v>
      </c>
      <c r="F73" s="15"/>
      <c r="G73" s="15"/>
      <c r="H73" s="14"/>
      <c r="I73" s="15"/>
      <c r="J73" s="14"/>
      <c r="K73" s="14"/>
      <c r="L73" s="15"/>
      <c r="M73" s="15"/>
      <c r="N73" s="15"/>
      <c r="O73" s="15"/>
      <c r="P73" s="15"/>
      <c r="Q73" s="15"/>
      <c r="R73" s="15"/>
      <c r="S73" s="15"/>
      <c r="T73" s="18">
        <f>IF(D73="Res Space Heat",VLOOKUP(K73,#REF!,4)*H73,IF(D73="Res AC",VLOOKUP(K73,#REF!,6)*H73,IF(D73="Res Lighting",VLOOKUP(K73,#REF!,8)*H73,IF(D73="Res Refrigeration",VLOOKUP(K73,#REF!,10)*H73,IF(D73="Res Water Heating",VLOOKUP(K73,#REF!,12)*H73,IF(D73="Res Dishwasher",VLOOKUP(K73,#REF!,14)*H73,IF(D73="Res Washer Dryer",VLOOKUP(K73,#REF!,16)*H73,IF(D73="Res Misc",VLOOKUP(K73,#REF!,18)*H73,IF(D73="Res Furnace Fan",VLOOKUP(K73,#REF!,20)*H73,IF(D73="NonRes Compressed Air",VLOOKUP(K73,#REF!,22)*H73,IF(D73="NonRes Cooking",VLOOKUP(K73,#REF!,24)*H73,IF(D73="NonRes Space Cooling",VLOOKUP(K73,#REF!,26)*H73,IF(D73="NonRes Exterior Lighting",VLOOKUP(K73,#REF!,28)*H73,IF(D73="NonRes Space Heating",VLOOKUP(K73,#REF!,30)*H73,IF(D73="NonRes Water Heating",VLOOKUP(K73,#REF!,32)*H73,IF(D73="NonRes Interior Lighting",VLOOKUP(K73,#REF!,34)*H73,IF(D73="NonRes Misc",VLOOKUP(K73,#REF!,36)*H73,IF(D73="NonRes Motors",VLOOKUP(K73,#REF!,38)*H73,IF(D73="NonRes Office Equipment",VLOOKUP(K73,#REF!,40)*H73,IF(D73="NonRes Process",VLOOKUP(K73,#REF!,42)*H73,IF(D73="NonRes Refrigeration",VLOOKUP(K73,#REF!,44)*H73,IF(D73="NonRes Ventilation",VLOOKUP(K73,#REF!,46)*H73,0))))))))))))))))))))))</f>
        <v>0</v>
      </c>
      <c r="U73" s="18">
        <f>IF(E73="Annual",VLOOKUP(K73,#REF!,4)*'3.6 - Open'!J73,IF(E73="Winter",VLOOKUP('3.6 - Open'!K73,#REF!,5)*'3.6 - Open'!J73,IF(E73="NA",0,0)))</f>
        <v>0</v>
      </c>
      <c r="V73" s="19">
        <f t="shared" si="35"/>
        <v>0</v>
      </c>
      <c r="W73" s="19">
        <f t="shared" si="36"/>
        <v>0</v>
      </c>
      <c r="X73" s="19">
        <f t="shared" si="37"/>
        <v>0</v>
      </c>
      <c r="Y73" s="19">
        <f t="shared" si="38"/>
        <v>0</v>
      </c>
      <c r="Z73" s="20" t="e">
        <f>(T73+U73+(PV(#REF!,'3.6 - Open'!K73,'3.6 - Open'!P73)*-1)+'3.6 - Open'!O73)/'3.6 - Open'!F73</f>
        <v>#REF!</v>
      </c>
      <c r="AA73" s="20" t="e">
        <f t="shared" si="39"/>
        <v>#DIV/0!</v>
      </c>
      <c r="AB73" s="21">
        <f t="shared" si="40"/>
        <v>0</v>
      </c>
      <c r="AC73" s="20">
        <f t="shared" si="41"/>
        <v>0</v>
      </c>
      <c r="AD73" s="20">
        <f t="shared" si="42"/>
        <v>0</v>
      </c>
      <c r="AE73" s="20">
        <f t="shared" si="43"/>
        <v>0</v>
      </c>
      <c r="AF73" s="19">
        <f t="shared" si="44"/>
        <v>0</v>
      </c>
      <c r="AG73" s="19">
        <f t="shared" si="45"/>
        <v>0</v>
      </c>
      <c r="AH73" s="19">
        <f t="shared" si="46"/>
        <v>0</v>
      </c>
      <c r="AI73" s="19">
        <f t="shared" si="47"/>
        <v>0</v>
      </c>
      <c r="AJ73" s="15">
        <v>0</v>
      </c>
      <c r="AK73" s="19">
        <f t="shared" si="50"/>
        <v>0</v>
      </c>
      <c r="AL73" s="19">
        <f t="shared" si="51"/>
        <v>0</v>
      </c>
      <c r="AM73" s="19">
        <f t="shared" si="48"/>
        <v>0</v>
      </c>
      <c r="AN73" s="19" t="e">
        <f t="shared" si="49"/>
        <v>#DIV/0!</v>
      </c>
      <c r="AO73" s="19" t="e">
        <f t="shared" si="52"/>
        <v>#DIV/0!</v>
      </c>
      <c r="AP73" s="18" t="e">
        <f>-PV(#REF!,'3.6 - Open'!K73,'3.6 - Open'!P73)*'3.6 - Open'!B73</f>
        <v>#REF!</v>
      </c>
      <c r="AQ73" s="19" t="e">
        <f t="shared" si="53"/>
        <v>#REF!</v>
      </c>
      <c r="AR73" s="19" t="e">
        <f t="shared" si="54"/>
        <v>#REF!</v>
      </c>
      <c r="AS73" s="18" t="e">
        <f>B73*H73*K73*#REF!</f>
        <v>#REF!</v>
      </c>
      <c r="AT73" s="19" t="e">
        <f>B73*J73*K73*#REF!</f>
        <v>#REF!</v>
      </c>
      <c r="AU73" s="6"/>
      <c r="AV73" s="6"/>
      <c r="AW73" s="6"/>
      <c r="AX73" s="6"/>
      <c r="AY73" s="6"/>
    </row>
    <row r="74" spans="1:51" x14ac:dyDescent="0.25">
      <c r="A74" s="14"/>
      <c r="B74" s="14"/>
      <c r="C74" s="15"/>
      <c r="D74" s="14"/>
      <c r="E74" s="14" t="s">
        <v>24</v>
      </c>
      <c r="F74" s="15"/>
      <c r="G74" s="15"/>
      <c r="H74" s="14"/>
      <c r="I74" s="15"/>
      <c r="J74" s="14"/>
      <c r="K74" s="14"/>
      <c r="L74" s="15"/>
      <c r="M74" s="15"/>
      <c r="N74" s="15"/>
      <c r="O74" s="15"/>
      <c r="P74" s="15"/>
      <c r="Q74" s="15"/>
      <c r="R74" s="15"/>
      <c r="S74" s="15"/>
      <c r="T74" s="18">
        <f>IF(D74="Res Space Heat",VLOOKUP(K74,#REF!,4)*H74,IF(D74="Res AC",VLOOKUP(K74,#REF!,6)*H74,IF(D74="Res Lighting",VLOOKUP(K74,#REF!,8)*H74,IF(D74="Res Refrigeration",VLOOKUP(K74,#REF!,10)*H74,IF(D74="Res Water Heating",VLOOKUP(K74,#REF!,12)*H74,IF(D74="Res Dishwasher",VLOOKUP(K74,#REF!,14)*H74,IF(D74="Res Washer Dryer",VLOOKUP(K74,#REF!,16)*H74,IF(D74="Res Misc",VLOOKUP(K74,#REF!,18)*H74,IF(D74="Res Furnace Fan",VLOOKUP(K74,#REF!,20)*H74,IF(D74="NonRes Compressed Air",VLOOKUP(K74,#REF!,22)*H74,IF(D74="NonRes Cooking",VLOOKUP(K74,#REF!,24)*H74,IF(D74="NonRes Space Cooling",VLOOKUP(K74,#REF!,26)*H74,IF(D74="NonRes Exterior Lighting",VLOOKUP(K74,#REF!,28)*H74,IF(D74="NonRes Space Heating",VLOOKUP(K74,#REF!,30)*H74,IF(D74="NonRes Water Heating",VLOOKUP(K74,#REF!,32)*H74,IF(D74="NonRes Interior Lighting",VLOOKUP(K74,#REF!,34)*H74,IF(D74="NonRes Misc",VLOOKUP(K74,#REF!,36)*H74,IF(D74="NonRes Motors",VLOOKUP(K74,#REF!,38)*H74,IF(D74="NonRes Office Equipment",VLOOKUP(K74,#REF!,40)*H74,IF(D74="NonRes Process",VLOOKUP(K74,#REF!,42)*H74,IF(D74="NonRes Refrigeration",VLOOKUP(K74,#REF!,44)*H74,IF(D74="NonRes Ventilation",VLOOKUP(K74,#REF!,46)*H74,0))))))))))))))))))))))</f>
        <v>0</v>
      </c>
      <c r="U74" s="18">
        <f>IF(E74="Annual",VLOOKUP(K74,#REF!,4)*'3.6 - Open'!J74,IF(E74="Winter",VLOOKUP('3.6 - Open'!K74,#REF!,5)*'3.6 - Open'!J74,IF(E74="NA",0,0)))</f>
        <v>0</v>
      </c>
      <c r="V74" s="19">
        <f t="shared" si="35"/>
        <v>0</v>
      </c>
      <c r="W74" s="19">
        <f t="shared" si="36"/>
        <v>0</v>
      </c>
      <c r="X74" s="19">
        <f t="shared" si="37"/>
        <v>0</v>
      </c>
      <c r="Y74" s="19">
        <f t="shared" si="38"/>
        <v>0</v>
      </c>
      <c r="Z74" s="20" t="e">
        <f>(T74+U74+(PV(#REF!,'3.6 - Open'!K74,'3.6 - Open'!P74)*-1)+'3.6 - Open'!O74)/'3.6 - Open'!F74</f>
        <v>#REF!</v>
      </c>
      <c r="AA74" s="20" t="e">
        <f t="shared" si="39"/>
        <v>#DIV/0!</v>
      </c>
      <c r="AB74" s="21">
        <f t="shared" si="40"/>
        <v>0</v>
      </c>
      <c r="AC74" s="20">
        <f t="shared" si="41"/>
        <v>0</v>
      </c>
      <c r="AD74" s="20">
        <f t="shared" si="42"/>
        <v>0</v>
      </c>
      <c r="AE74" s="20">
        <f t="shared" si="43"/>
        <v>0</v>
      </c>
      <c r="AF74" s="19">
        <f t="shared" si="44"/>
        <v>0</v>
      </c>
      <c r="AG74" s="19">
        <f t="shared" si="45"/>
        <v>0</v>
      </c>
      <c r="AH74" s="19">
        <f t="shared" si="46"/>
        <v>0</v>
      </c>
      <c r="AI74" s="19">
        <f t="shared" si="47"/>
        <v>0</v>
      </c>
      <c r="AJ74" s="15">
        <v>0</v>
      </c>
      <c r="AK74" s="19">
        <f t="shared" si="50"/>
        <v>0</v>
      </c>
      <c r="AL74" s="19">
        <f t="shared" si="51"/>
        <v>0</v>
      </c>
      <c r="AM74" s="19">
        <f t="shared" si="48"/>
        <v>0</v>
      </c>
      <c r="AN74" s="19" t="e">
        <f t="shared" si="49"/>
        <v>#DIV/0!</v>
      </c>
      <c r="AO74" s="19" t="e">
        <f t="shared" si="52"/>
        <v>#DIV/0!</v>
      </c>
      <c r="AP74" s="18" t="e">
        <f>-PV(#REF!,'3.6 - Open'!K74,'3.6 - Open'!P74)*'3.6 - Open'!B74</f>
        <v>#REF!</v>
      </c>
      <c r="AQ74" s="19" t="e">
        <f t="shared" si="53"/>
        <v>#REF!</v>
      </c>
      <c r="AR74" s="19" t="e">
        <f t="shared" si="54"/>
        <v>#REF!</v>
      </c>
      <c r="AS74" s="18" t="e">
        <f>B74*H74*K74*#REF!</f>
        <v>#REF!</v>
      </c>
      <c r="AT74" s="19" t="e">
        <f>B74*J74*K74*#REF!</f>
        <v>#REF!</v>
      </c>
      <c r="AU74" s="6"/>
      <c r="AV74" s="6"/>
      <c r="AW74" s="6"/>
      <c r="AX74" s="6"/>
      <c r="AY74" s="6"/>
    </row>
    <row r="75" spans="1:51" x14ac:dyDescent="0.25">
      <c r="A75" s="14"/>
      <c r="B75" s="14"/>
      <c r="C75" s="15"/>
      <c r="D75" s="14"/>
      <c r="E75" s="14" t="s">
        <v>24</v>
      </c>
      <c r="F75" s="15"/>
      <c r="G75" s="15"/>
      <c r="H75" s="14"/>
      <c r="I75" s="15"/>
      <c r="J75" s="14"/>
      <c r="K75" s="14"/>
      <c r="L75" s="15"/>
      <c r="M75" s="15"/>
      <c r="N75" s="15"/>
      <c r="O75" s="15"/>
      <c r="P75" s="15"/>
      <c r="Q75" s="15"/>
      <c r="R75" s="15"/>
      <c r="S75" s="15"/>
      <c r="T75" s="18">
        <f>IF(D75="Res Space Heat",VLOOKUP(K75,#REF!,4)*H75,IF(D75="Res AC",VLOOKUP(K75,#REF!,6)*H75,IF(D75="Res Lighting",VLOOKUP(K75,#REF!,8)*H75,IF(D75="Res Refrigeration",VLOOKUP(K75,#REF!,10)*H75,IF(D75="Res Water Heating",VLOOKUP(K75,#REF!,12)*H75,IF(D75="Res Dishwasher",VLOOKUP(K75,#REF!,14)*H75,IF(D75="Res Washer Dryer",VLOOKUP(K75,#REF!,16)*H75,IF(D75="Res Misc",VLOOKUP(K75,#REF!,18)*H75,IF(D75="Res Furnace Fan",VLOOKUP(K75,#REF!,20)*H75,IF(D75="NonRes Compressed Air",VLOOKUP(K75,#REF!,22)*H75,IF(D75="NonRes Cooking",VLOOKUP(K75,#REF!,24)*H75,IF(D75="NonRes Space Cooling",VLOOKUP(K75,#REF!,26)*H75,IF(D75="NonRes Exterior Lighting",VLOOKUP(K75,#REF!,28)*H75,IF(D75="NonRes Space Heating",VLOOKUP(K75,#REF!,30)*H75,IF(D75="NonRes Water Heating",VLOOKUP(K75,#REF!,32)*H75,IF(D75="NonRes Interior Lighting",VLOOKUP(K75,#REF!,34)*H75,IF(D75="NonRes Misc",VLOOKUP(K75,#REF!,36)*H75,IF(D75="NonRes Motors",VLOOKUP(K75,#REF!,38)*H75,IF(D75="NonRes Office Equipment",VLOOKUP(K75,#REF!,40)*H75,IF(D75="NonRes Process",VLOOKUP(K75,#REF!,42)*H75,IF(D75="NonRes Refrigeration",VLOOKUP(K75,#REF!,44)*H75,IF(D75="NonRes Ventilation",VLOOKUP(K75,#REF!,46)*H75,0))))))))))))))))))))))</f>
        <v>0</v>
      </c>
      <c r="U75" s="18">
        <f>IF(E75="Annual",VLOOKUP(K75,#REF!,4)*'3.6 - Open'!J75,IF(E75="Winter",VLOOKUP('3.6 - Open'!K75,#REF!,5)*'3.6 - Open'!J75,IF(E75="NA",0,0)))</f>
        <v>0</v>
      </c>
      <c r="V75" s="19">
        <f t="shared" si="35"/>
        <v>0</v>
      </c>
      <c r="W75" s="19">
        <f t="shared" si="36"/>
        <v>0</v>
      </c>
      <c r="X75" s="19">
        <f t="shared" si="37"/>
        <v>0</v>
      </c>
      <c r="Y75" s="19">
        <f t="shared" si="38"/>
        <v>0</v>
      </c>
      <c r="Z75" s="20" t="e">
        <f>(T75+U75+(PV(#REF!,'3.6 - Open'!K75,'3.6 - Open'!P75)*-1)+'3.6 - Open'!O75)/'3.6 - Open'!F75</f>
        <v>#REF!</v>
      </c>
      <c r="AA75" s="20" t="e">
        <f t="shared" si="39"/>
        <v>#DIV/0!</v>
      </c>
      <c r="AB75" s="21">
        <f t="shared" si="40"/>
        <v>0</v>
      </c>
      <c r="AC75" s="20">
        <f t="shared" si="41"/>
        <v>0</v>
      </c>
      <c r="AD75" s="20">
        <f t="shared" si="42"/>
        <v>0</v>
      </c>
      <c r="AE75" s="20">
        <f t="shared" si="43"/>
        <v>0</v>
      </c>
      <c r="AF75" s="19">
        <f t="shared" si="44"/>
        <v>0</v>
      </c>
      <c r="AG75" s="19">
        <f t="shared" si="45"/>
        <v>0</v>
      </c>
      <c r="AH75" s="19">
        <f t="shared" si="46"/>
        <v>0</v>
      </c>
      <c r="AI75" s="19">
        <f t="shared" si="47"/>
        <v>0</v>
      </c>
      <c r="AJ75" s="15">
        <v>0</v>
      </c>
      <c r="AK75" s="19">
        <f t="shared" si="50"/>
        <v>0</v>
      </c>
      <c r="AL75" s="19">
        <f t="shared" si="51"/>
        <v>0</v>
      </c>
      <c r="AM75" s="19">
        <f t="shared" si="48"/>
        <v>0</v>
      </c>
      <c r="AN75" s="19" t="e">
        <f t="shared" si="49"/>
        <v>#DIV/0!</v>
      </c>
      <c r="AO75" s="19" t="e">
        <f t="shared" si="52"/>
        <v>#DIV/0!</v>
      </c>
      <c r="AP75" s="18" t="e">
        <f>-PV(#REF!,'3.6 - Open'!K75,'3.6 - Open'!P75)*'3.6 - Open'!B75</f>
        <v>#REF!</v>
      </c>
      <c r="AQ75" s="19" t="e">
        <f t="shared" si="53"/>
        <v>#REF!</v>
      </c>
      <c r="AR75" s="19" t="e">
        <f t="shared" si="54"/>
        <v>#REF!</v>
      </c>
      <c r="AS75" s="18" t="e">
        <f>B75*H75*K75*#REF!</f>
        <v>#REF!</v>
      </c>
      <c r="AT75" s="19" t="e">
        <f>B75*J75*K75*#REF!</f>
        <v>#REF!</v>
      </c>
      <c r="AU75" s="6"/>
      <c r="AV75" s="6"/>
      <c r="AW75" s="6"/>
      <c r="AX75" s="6"/>
      <c r="AY75" s="6"/>
    </row>
    <row r="76" spans="1:51" x14ac:dyDescent="0.25">
      <c r="A76" s="14"/>
      <c r="B76" s="14"/>
      <c r="C76" s="15"/>
      <c r="D76" s="14"/>
      <c r="E76" s="14" t="s">
        <v>24</v>
      </c>
      <c r="F76" s="15"/>
      <c r="G76" s="15"/>
      <c r="H76" s="14"/>
      <c r="I76" s="15"/>
      <c r="J76" s="14"/>
      <c r="K76" s="14"/>
      <c r="L76" s="15"/>
      <c r="M76" s="15"/>
      <c r="N76" s="15"/>
      <c r="O76" s="15"/>
      <c r="P76" s="15"/>
      <c r="Q76" s="15"/>
      <c r="R76" s="15"/>
      <c r="S76" s="15"/>
      <c r="T76" s="18">
        <f>IF(D76="Res Space Heat",VLOOKUP(K76,#REF!,4)*H76,IF(D76="Res AC",VLOOKUP(K76,#REF!,6)*H76,IF(D76="Res Lighting",VLOOKUP(K76,#REF!,8)*H76,IF(D76="Res Refrigeration",VLOOKUP(K76,#REF!,10)*H76,IF(D76="Res Water Heating",VLOOKUP(K76,#REF!,12)*H76,IF(D76="Res Dishwasher",VLOOKUP(K76,#REF!,14)*H76,IF(D76="Res Washer Dryer",VLOOKUP(K76,#REF!,16)*H76,IF(D76="Res Misc",VLOOKUP(K76,#REF!,18)*H76,IF(D76="Res Furnace Fan",VLOOKUP(K76,#REF!,20)*H76,IF(D76="NonRes Compressed Air",VLOOKUP(K76,#REF!,22)*H76,IF(D76="NonRes Cooking",VLOOKUP(K76,#REF!,24)*H76,IF(D76="NonRes Space Cooling",VLOOKUP(K76,#REF!,26)*H76,IF(D76="NonRes Exterior Lighting",VLOOKUP(K76,#REF!,28)*H76,IF(D76="NonRes Space Heating",VLOOKUP(K76,#REF!,30)*H76,IF(D76="NonRes Water Heating",VLOOKUP(K76,#REF!,32)*H76,IF(D76="NonRes Interior Lighting",VLOOKUP(K76,#REF!,34)*H76,IF(D76="NonRes Misc",VLOOKUP(K76,#REF!,36)*H76,IF(D76="NonRes Motors",VLOOKUP(K76,#REF!,38)*H76,IF(D76="NonRes Office Equipment",VLOOKUP(K76,#REF!,40)*H76,IF(D76="NonRes Process",VLOOKUP(K76,#REF!,42)*H76,IF(D76="NonRes Refrigeration",VLOOKUP(K76,#REF!,44)*H76,IF(D76="NonRes Ventilation",VLOOKUP(K76,#REF!,46)*H76,0))))))))))))))))))))))</f>
        <v>0</v>
      </c>
      <c r="U76" s="18">
        <f>IF(E76="Annual",VLOOKUP(K76,#REF!,4)*'3.6 - Open'!J76,IF(E76="Winter",VLOOKUP('3.6 - Open'!K76,#REF!,5)*'3.6 - Open'!J76,IF(E76="NA",0,0)))</f>
        <v>0</v>
      </c>
      <c r="V76" s="19">
        <f t="shared" si="35"/>
        <v>0</v>
      </c>
      <c r="W76" s="19">
        <f t="shared" si="36"/>
        <v>0</v>
      </c>
      <c r="X76" s="19">
        <f t="shared" si="37"/>
        <v>0</v>
      </c>
      <c r="Y76" s="19">
        <f t="shared" si="38"/>
        <v>0</v>
      </c>
      <c r="Z76" s="20" t="e">
        <f>(T76+U76+(PV(#REF!,'3.6 - Open'!K76,'3.6 - Open'!P76)*-1)+'3.6 - Open'!O76)/'3.6 - Open'!F76</f>
        <v>#REF!</v>
      </c>
      <c r="AA76" s="20" t="e">
        <f t="shared" si="39"/>
        <v>#DIV/0!</v>
      </c>
      <c r="AB76" s="21">
        <f t="shared" si="40"/>
        <v>0</v>
      </c>
      <c r="AC76" s="20">
        <f t="shared" si="41"/>
        <v>0</v>
      </c>
      <c r="AD76" s="20">
        <f t="shared" si="42"/>
        <v>0</v>
      </c>
      <c r="AE76" s="20">
        <f t="shared" si="43"/>
        <v>0</v>
      </c>
      <c r="AF76" s="19">
        <f t="shared" si="44"/>
        <v>0</v>
      </c>
      <c r="AG76" s="19">
        <f t="shared" si="45"/>
        <v>0</v>
      </c>
      <c r="AH76" s="19">
        <f t="shared" si="46"/>
        <v>0</v>
      </c>
      <c r="AI76" s="19">
        <f t="shared" si="47"/>
        <v>0</v>
      </c>
      <c r="AJ76" s="15">
        <v>0</v>
      </c>
      <c r="AK76" s="19">
        <f t="shared" si="50"/>
        <v>0</v>
      </c>
      <c r="AL76" s="19">
        <f t="shared" si="51"/>
        <v>0</v>
      </c>
      <c r="AM76" s="19">
        <f t="shared" si="48"/>
        <v>0</v>
      </c>
      <c r="AN76" s="19" t="e">
        <f t="shared" si="49"/>
        <v>#DIV/0!</v>
      </c>
      <c r="AO76" s="19" t="e">
        <f t="shared" si="52"/>
        <v>#DIV/0!</v>
      </c>
      <c r="AP76" s="18" t="e">
        <f>-PV(#REF!,'3.6 - Open'!K76,'3.6 - Open'!P76)*'3.6 - Open'!B76</f>
        <v>#REF!</v>
      </c>
      <c r="AQ76" s="19" t="e">
        <f t="shared" si="53"/>
        <v>#REF!</v>
      </c>
      <c r="AR76" s="19" t="e">
        <f t="shared" si="54"/>
        <v>#REF!</v>
      </c>
      <c r="AS76" s="18" t="e">
        <f>B76*H76*K76*#REF!</f>
        <v>#REF!</v>
      </c>
      <c r="AT76" s="19" t="e">
        <f>B76*J76*K76*#REF!</f>
        <v>#REF!</v>
      </c>
      <c r="AU76" s="6"/>
      <c r="AV76" s="6"/>
      <c r="AW76" s="6"/>
      <c r="AX76" s="6"/>
      <c r="AY76" s="6"/>
    </row>
    <row r="77" spans="1:51" x14ac:dyDescent="0.25">
      <c r="A77" s="14"/>
      <c r="B77" s="14"/>
      <c r="C77" s="15"/>
      <c r="D77" s="14"/>
      <c r="E77" s="14" t="s">
        <v>24</v>
      </c>
      <c r="F77" s="15"/>
      <c r="G77" s="15"/>
      <c r="H77" s="14"/>
      <c r="I77" s="15"/>
      <c r="J77" s="14"/>
      <c r="K77" s="14"/>
      <c r="L77" s="15"/>
      <c r="M77" s="15"/>
      <c r="N77" s="15"/>
      <c r="O77" s="15"/>
      <c r="P77" s="15"/>
      <c r="Q77" s="15"/>
      <c r="R77" s="15"/>
      <c r="S77" s="15"/>
      <c r="T77" s="18">
        <f>IF(D77="Res Space Heat",VLOOKUP(K77,#REF!,4)*H77,IF(D77="Res AC",VLOOKUP(K77,#REF!,6)*H77,IF(D77="Res Lighting",VLOOKUP(K77,#REF!,8)*H77,IF(D77="Res Refrigeration",VLOOKUP(K77,#REF!,10)*H77,IF(D77="Res Water Heating",VLOOKUP(K77,#REF!,12)*H77,IF(D77="Res Dishwasher",VLOOKUP(K77,#REF!,14)*H77,IF(D77="Res Washer Dryer",VLOOKUP(K77,#REF!,16)*H77,IF(D77="Res Misc",VLOOKUP(K77,#REF!,18)*H77,IF(D77="Res Furnace Fan",VLOOKUP(K77,#REF!,20)*H77,IF(D77="NonRes Compressed Air",VLOOKUP(K77,#REF!,22)*H77,IF(D77="NonRes Cooking",VLOOKUP(K77,#REF!,24)*H77,IF(D77="NonRes Space Cooling",VLOOKUP(K77,#REF!,26)*H77,IF(D77="NonRes Exterior Lighting",VLOOKUP(K77,#REF!,28)*H77,IF(D77="NonRes Space Heating",VLOOKUP(K77,#REF!,30)*H77,IF(D77="NonRes Water Heating",VLOOKUP(K77,#REF!,32)*H77,IF(D77="NonRes Interior Lighting",VLOOKUP(K77,#REF!,34)*H77,IF(D77="NonRes Misc",VLOOKUP(K77,#REF!,36)*H77,IF(D77="NonRes Motors",VLOOKUP(K77,#REF!,38)*H77,IF(D77="NonRes Office Equipment",VLOOKUP(K77,#REF!,40)*H77,IF(D77="NonRes Process",VLOOKUP(K77,#REF!,42)*H77,IF(D77="NonRes Refrigeration",VLOOKUP(K77,#REF!,44)*H77,IF(D77="NonRes Ventilation",VLOOKUP(K77,#REF!,46)*H77,0))))))))))))))))))))))</f>
        <v>0</v>
      </c>
      <c r="U77" s="18">
        <f>IF(E77="Annual",VLOOKUP(K77,#REF!,4)*'3.6 - Open'!J77,IF(E77="Winter",VLOOKUP('3.6 - Open'!K77,#REF!,5)*'3.6 - Open'!J77,IF(E77="NA",0,0)))</f>
        <v>0</v>
      </c>
      <c r="V77" s="19">
        <f t="shared" si="35"/>
        <v>0</v>
      </c>
      <c r="W77" s="19">
        <f t="shared" si="36"/>
        <v>0</v>
      </c>
      <c r="X77" s="19">
        <f t="shared" si="37"/>
        <v>0</v>
      </c>
      <c r="Y77" s="19">
        <f t="shared" si="38"/>
        <v>0</v>
      </c>
      <c r="Z77" s="20" t="e">
        <f>(T77+U77+(PV(#REF!,'3.6 - Open'!K77,'3.6 - Open'!P77)*-1)+'3.6 - Open'!O77)/'3.6 - Open'!F77</f>
        <v>#REF!</v>
      </c>
      <c r="AA77" s="20" t="e">
        <f t="shared" si="39"/>
        <v>#DIV/0!</v>
      </c>
      <c r="AB77" s="21">
        <f t="shared" si="40"/>
        <v>0</v>
      </c>
      <c r="AC77" s="20">
        <f t="shared" si="41"/>
        <v>0</v>
      </c>
      <c r="AD77" s="20">
        <f t="shared" si="42"/>
        <v>0</v>
      </c>
      <c r="AE77" s="20">
        <f t="shared" si="43"/>
        <v>0</v>
      </c>
      <c r="AF77" s="19">
        <f t="shared" si="44"/>
        <v>0</v>
      </c>
      <c r="AG77" s="19">
        <f t="shared" si="45"/>
        <v>0</v>
      </c>
      <c r="AH77" s="19">
        <f t="shared" si="46"/>
        <v>0</v>
      </c>
      <c r="AI77" s="19">
        <f t="shared" si="47"/>
        <v>0</v>
      </c>
      <c r="AJ77" s="15">
        <v>0</v>
      </c>
      <c r="AK77" s="19">
        <f t="shared" si="50"/>
        <v>0</v>
      </c>
      <c r="AL77" s="19">
        <f t="shared" si="51"/>
        <v>0</v>
      </c>
      <c r="AM77" s="19">
        <f t="shared" si="48"/>
        <v>0</v>
      </c>
      <c r="AN77" s="19" t="e">
        <f t="shared" si="49"/>
        <v>#DIV/0!</v>
      </c>
      <c r="AO77" s="19" t="e">
        <f t="shared" si="52"/>
        <v>#DIV/0!</v>
      </c>
      <c r="AP77" s="18" t="e">
        <f>-PV(#REF!,'3.6 - Open'!K77,'3.6 - Open'!P77)*'3.6 - Open'!B77</f>
        <v>#REF!</v>
      </c>
      <c r="AQ77" s="19" t="e">
        <f t="shared" si="53"/>
        <v>#REF!</v>
      </c>
      <c r="AR77" s="19" t="e">
        <f t="shared" si="54"/>
        <v>#REF!</v>
      </c>
      <c r="AS77" s="18" t="e">
        <f>B77*H77*K77*#REF!</f>
        <v>#REF!</v>
      </c>
      <c r="AT77" s="19" t="e">
        <f>B77*J77*K77*#REF!</f>
        <v>#REF!</v>
      </c>
      <c r="AU77" s="6"/>
      <c r="AV77" s="6"/>
      <c r="AW77" s="6"/>
      <c r="AX77" s="6"/>
      <c r="AY77" s="6"/>
    </row>
    <row r="78" spans="1:51" x14ac:dyDescent="0.25">
      <c r="A78" s="14"/>
      <c r="B78" s="14"/>
      <c r="C78" s="15"/>
      <c r="D78" s="14"/>
      <c r="E78" s="14" t="s">
        <v>24</v>
      </c>
      <c r="F78" s="15"/>
      <c r="G78" s="15"/>
      <c r="H78" s="14"/>
      <c r="I78" s="15"/>
      <c r="J78" s="14"/>
      <c r="K78" s="14"/>
      <c r="L78" s="15"/>
      <c r="M78" s="15"/>
      <c r="N78" s="15"/>
      <c r="O78" s="15"/>
      <c r="P78" s="15"/>
      <c r="Q78" s="15"/>
      <c r="R78" s="15"/>
      <c r="S78" s="15"/>
      <c r="T78" s="18">
        <f>IF(D78="Res Space Heat",VLOOKUP(K78,#REF!,4)*H78,IF(D78="Res AC",VLOOKUP(K78,#REF!,6)*H78,IF(D78="Res Lighting",VLOOKUP(K78,#REF!,8)*H78,IF(D78="Res Refrigeration",VLOOKUP(K78,#REF!,10)*H78,IF(D78="Res Water Heating",VLOOKUP(K78,#REF!,12)*H78,IF(D78="Res Dishwasher",VLOOKUP(K78,#REF!,14)*H78,IF(D78="Res Washer Dryer",VLOOKUP(K78,#REF!,16)*H78,IF(D78="Res Misc",VLOOKUP(K78,#REF!,18)*H78,IF(D78="Res Furnace Fan",VLOOKUP(K78,#REF!,20)*H78,IF(D78="NonRes Compressed Air",VLOOKUP(K78,#REF!,22)*H78,IF(D78="NonRes Cooking",VLOOKUP(K78,#REF!,24)*H78,IF(D78="NonRes Space Cooling",VLOOKUP(K78,#REF!,26)*H78,IF(D78="NonRes Exterior Lighting",VLOOKUP(K78,#REF!,28)*H78,IF(D78="NonRes Space Heating",VLOOKUP(K78,#REF!,30)*H78,IF(D78="NonRes Water Heating",VLOOKUP(K78,#REF!,32)*H78,IF(D78="NonRes Interior Lighting",VLOOKUP(K78,#REF!,34)*H78,IF(D78="NonRes Misc",VLOOKUP(K78,#REF!,36)*H78,IF(D78="NonRes Motors",VLOOKUP(K78,#REF!,38)*H78,IF(D78="NonRes Office Equipment",VLOOKUP(K78,#REF!,40)*H78,IF(D78="NonRes Process",VLOOKUP(K78,#REF!,42)*H78,IF(D78="NonRes Refrigeration",VLOOKUP(K78,#REF!,44)*H78,IF(D78="NonRes Ventilation",VLOOKUP(K78,#REF!,46)*H78,0))))))))))))))))))))))</f>
        <v>0</v>
      </c>
      <c r="U78" s="18">
        <f>IF(E78="Annual",VLOOKUP(K78,#REF!,4)*'3.6 - Open'!J78,IF(E78="Winter",VLOOKUP('3.6 - Open'!K78,#REF!,5)*'3.6 - Open'!J78,IF(E78="NA",0,0)))</f>
        <v>0</v>
      </c>
      <c r="V78" s="19">
        <f t="shared" si="35"/>
        <v>0</v>
      </c>
      <c r="W78" s="19">
        <f t="shared" si="36"/>
        <v>0</v>
      </c>
      <c r="X78" s="19">
        <f t="shared" si="37"/>
        <v>0</v>
      </c>
      <c r="Y78" s="19">
        <f t="shared" si="38"/>
        <v>0</v>
      </c>
      <c r="Z78" s="20" t="e">
        <f>(T78+U78+(PV(#REF!,'3.6 - Open'!K78,'3.6 - Open'!P78)*-1)+'3.6 - Open'!O78)/'3.6 - Open'!F78</f>
        <v>#REF!</v>
      </c>
      <c r="AA78" s="20" t="e">
        <f t="shared" si="39"/>
        <v>#DIV/0!</v>
      </c>
      <c r="AB78" s="21">
        <f t="shared" si="40"/>
        <v>0</v>
      </c>
      <c r="AC78" s="20">
        <f t="shared" si="41"/>
        <v>0</v>
      </c>
      <c r="AD78" s="20">
        <f t="shared" si="42"/>
        <v>0</v>
      </c>
      <c r="AE78" s="20">
        <f t="shared" si="43"/>
        <v>0</v>
      </c>
      <c r="AF78" s="19">
        <f t="shared" si="44"/>
        <v>0</v>
      </c>
      <c r="AG78" s="19">
        <f t="shared" si="45"/>
        <v>0</v>
      </c>
      <c r="AH78" s="19">
        <f t="shared" si="46"/>
        <v>0</v>
      </c>
      <c r="AI78" s="19">
        <f t="shared" si="47"/>
        <v>0</v>
      </c>
      <c r="AJ78" s="15">
        <v>0</v>
      </c>
      <c r="AK78" s="19">
        <f t="shared" si="50"/>
        <v>0</v>
      </c>
      <c r="AL78" s="19">
        <f t="shared" si="51"/>
        <v>0</v>
      </c>
      <c r="AM78" s="19">
        <f t="shared" si="48"/>
        <v>0</v>
      </c>
      <c r="AN78" s="19" t="e">
        <f t="shared" si="49"/>
        <v>#DIV/0!</v>
      </c>
      <c r="AO78" s="19" t="e">
        <f t="shared" si="52"/>
        <v>#DIV/0!</v>
      </c>
      <c r="AP78" s="18" t="e">
        <f>-PV(#REF!,'3.6 - Open'!K78,'3.6 - Open'!P78)*'3.6 - Open'!B78</f>
        <v>#REF!</v>
      </c>
      <c r="AQ78" s="19" t="e">
        <f t="shared" si="53"/>
        <v>#REF!</v>
      </c>
      <c r="AR78" s="19" t="e">
        <f t="shared" si="54"/>
        <v>#REF!</v>
      </c>
      <c r="AS78" s="18" t="e">
        <f>B78*H78*K78*#REF!</f>
        <v>#REF!</v>
      </c>
      <c r="AT78" s="19" t="e">
        <f>B78*J78*K78*#REF!</f>
        <v>#REF!</v>
      </c>
      <c r="AU78" s="6"/>
      <c r="AV78" s="6"/>
      <c r="AW78" s="6"/>
      <c r="AX78" s="6"/>
      <c r="AY78" s="6"/>
    </row>
    <row r="79" spans="1:51" x14ac:dyDescent="0.25">
      <c r="A79" s="14"/>
      <c r="B79" s="14"/>
      <c r="C79" s="15"/>
      <c r="D79" s="14"/>
      <c r="E79" s="14" t="s">
        <v>24</v>
      </c>
      <c r="F79" s="15"/>
      <c r="G79" s="15"/>
      <c r="H79" s="14"/>
      <c r="I79" s="15"/>
      <c r="J79" s="14"/>
      <c r="K79" s="14"/>
      <c r="L79" s="15"/>
      <c r="M79" s="15"/>
      <c r="N79" s="15"/>
      <c r="O79" s="15"/>
      <c r="P79" s="15"/>
      <c r="Q79" s="15"/>
      <c r="R79" s="15"/>
      <c r="S79" s="15"/>
      <c r="T79" s="18">
        <f>IF(D79="Res Space Heat",VLOOKUP(K79,#REF!,4)*H79,IF(D79="Res AC",VLOOKUP(K79,#REF!,6)*H79,IF(D79="Res Lighting",VLOOKUP(K79,#REF!,8)*H79,IF(D79="Res Refrigeration",VLOOKUP(K79,#REF!,10)*H79,IF(D79="Res Water Heating",VLOOKUP(K79,#REF!,12)*H79,IF(D79="Res Dishwasher",VLOOKUP(K79,#REF!,14)*H79,IF(D79="Res Washer Dryer",VLOOKUP(K79,#REF!,16)*H79,IF(D79="Res Misc",VLOOKUP(K79,#REF!,18)*H79,IF(D79="Res Furnace Fan",VLOOKUP(K79,#REF!,20)*H79,IF(D79="NonRes Compressed Air",VLOOKUP(K79,#REF!,22)*H79,IF(D79="NonRes Cooking",VLOOKUP(K79,#REF!,24)*H79,IF(D79="NonRes Space Cooling",VLOOKUP(K79,#REF!,26)*H79,IF(D79="NonRes Exterior Lighting",VLOOKUP(K79,#REF!,28)*H79,IF(D79="NonRes Space Heating",VLOOKUP(K79,#REF!,30)*H79,IF(D79="NonRes Water Heating",VLOOKUP(K79,#REF!,32)*H79,IF(D79="NonRes Interior Lighting",VLOOKUP(K79,#REF!,34)*H79,IF(D79="NonRes Misc",VLOOKUP(K79,#REF!,36)*H79,IF(D79="NonRes Motors",VLOOKUP(K79,#REF!,38)*H79,IF(D79="NonRes Office Equipment",VLOOKUP(K79,#REF!,40)*H79,IF(D79="NonRes Process",VLOOKUP(K79,#REF!,42)*H79,IF(D79="NonRes Refrigeration",VLOOKUP(K79,#REF!,44)*H79,IF(D79="NonRes Ventilation",VLOOKUP(K79,#REF!,46)*H79,0))))))))))))))))))))))</f>
        <v>0</v>
      </c>
      <c r="U79" s="18">
        <f>IF(E79="Annual",VLOOKUP(K79,#REF!,4)*'3.6 - Open'!J79,IF(E79="Winter",VLOOKUP('3.6 - Open'!K79,#REF!,5)*'3.6 - Open'!J79,IF(E79="NA",0,0)))</f>
        <v>0</v>
      </c>
      <c r="V79" s="19">
        <f t="shared" si="35"/>
        <v>0</v>
      </c>
      <c r="W79" s="19">
        <f t="shared" si="36"/>
        <v>0</v>
      </c>
      <c r="X79" s="19">
        <f t="shared" si="37"/>
        <v>0</v>
      </c>
      <c r="Y79" s="19">
        <f t="shared" si="38"/>
        <v>0</v>
      </c>
      <c r="Z79" s="20" t="e">
        <f>(T79+U79+(PV(#REF!,'3.6 - Open'!K79,'3.6 - Open'!P79)*-1)+'3.6 - Open'!O79)/'3.6 - Open'!F79</f>
        <v>#REF!</v>
      </c>
      <c r="AA79" s="20" t="e">
        <f t="shared" si="39"/>
        <v>#DIV/0!</v>
      </c>
      <c r="AB79" s="21">
        <f t="shared" si="40"/>
        <v>0</v>
      </c>
      <c r="AC79" s="20">
        <f t="shared" si="41"/>
        <v>0</v>
      </c>
      <c r="AD79" s="20">
        <f t="shared" si="42"/>
        <v>0</v>
      </c>
      <c r="AE79" s="20">
        <f t="shared" si="43"/>
        <v>0</v>
      </c>
      <c r="AF79" s="19">
        <f t="shared" si="44"/>
        <v>0</v>
      </c>
      <c r="AG79" s="19">
        <f t="shared" si="45"/>
        <v>0</v>
      </c>
      <c r="AH79" s="19">
        <f t="shared" si="46"/>
        <v>0</v>
      </c>
      <c r="AI79" s="19">
        <f t="shared" si="47"/>
        <v>0</v>
      </c>
      <c r="AJ79" s="15">
        <v>0</v>
      </c>
      <c r="AK79" s="19">
        <f t="shared" si="50"/>
        <v>0</v>
      </c>
      <c r="AL79" s="19">
        <f t="shared" si="51"/>
        <v>0</v>
      </c>
      <c r="AM79" s="19">
        <f t="shared" si="48"/>
        <v>0</v>
      </c>
      <c r="AN79" s="19" t="e">
        <f t="shared" si="49"/>
        <v>#DIV/0!</v>
      </c>
      <c r="AO79" s="19" t="e">
        <f t="shared" si="52"/>
        <v>#DIV/0!</v>
      </c>
      <c r="AP79" s="18" t="e">
        <f>-PV(#REF!,'3.6 - Open'!K79,'3.6 - Open'!P79)*'3.6 - Open'!B79</f>
        <v>#REF!</v>
      </c>
      <c r="AQ79" s="19" t="e">
        <f t="shared" si="53"/>
        <v>#REF!</v>
      </c>
      <c r="AR79" s="19" t="e">
        <f t="shared" si="54"/>
        <v>#REF!</v>
      </c>
      <c r="AS79" s="18" t="e">
        <f>B79*H79*K79*#REF!</f>
        <v>#REF!</v>
      </c>
      <c r="AT79" s="19" t="e">
        <f>B79*J79*K79*#REF!</f>
        <v>#REF!</v>
      </c>
      <c r="AU79" s="6"/>
      <c r="AV79" s="6"/>
      <c r="AW79" s="6"/>
      <c r="AX79" s="6"/>
      <c r="AY79" s="6"/>
    </row>
    <row r="80" spans="1:51" x14ac:dyDescent="0.25">
      <c r="A80" s="14"/>
      <c r="B80" s="14"/>
      <c r="C80" s="15"/>
      <c r="D80" s="14"/>
      <c r="E80" s="14" t="s">
        <v>24</v>
      </c>
      <c r="F80" s="15"/>
      <c r="G80" s="15"/>
      <c r="H80" s="14"/>
      <c r="I80" s="15"/>
      <c r="J80" s="14"/>
      <c r="K80" s="14"/>
      <c r="L80" s="15"/>
      <c r="M80" s="15"/>
      <c r="N80" s="15"/>
      <c r="O80" s="15"/>
      <c r="P80" s="15"/>
      <c r="Q80" s="15"/>
      <c r="R80" s="15"/>
      <c r="S80" s="15"/>
      <c r="T80" s="18">
        <f>IF(D80="Res Space Heat",VLOOKUP(K80,#REF!,4)*H80,IF(D80="Res AC",VLOOKUP(K80,#REF!,6)*H80,IF(D80="Res Lighting",VLOOKUP(K80,#REF!,8)*H80,IF(D80="Res Refrigeration",VLOOKUP(K80,#REF!,10)*H80,IF(D80="Res Water Heating",VLOOKUP(K80,#REF!,12)*H80,IF(D80="Res Dishwasher",VLOOKUP(K80,#REF!,14)*H80,IF(D80="Res Washer Dryer",VLOOKUP(K80,#REF!,16)*H80,IF(D80="Res Misc",VLOOKUP(K80,#REF!,18)*H80,IF(D80="Res Furnace Fan",VLOOKUP(K80,#REF!,20)*H80,IF(D80="NonRes Compressed Air",VLOOKUP(K80,#REF!,22)*H80,IF(D80="NonRes Cooking",VLOOKUP(K80,#REF!,24)*H80,IF(D80="NonRes Space Cooling",VLOOKUP(K80,#REF!,26)*H80,IF(D80="NonRes Exterior Lighting",VLOOKUP(K80,#REF!,28)*H80,IF(D80="NonRes Space Heating",VLOOKUP(K80,#REF!,30)*H80,IF(D80="NonRes Water Heating",VLOOKUP(K80,#REF!,32)*H80,IF(D80="NonRes Interior Lighting",VLOOKUP(K80,#REF!,34)*H80,IF(D80="NonRes Misc",VLOOKUP(K80,#REF!,36)*H80,IF(D80="NonRes Motors",VLOOKUP(K80,#REF!,38)*H80,IF(D80="NonRes Office Equipment",VLOOKUP(K80,#REF!,40)*H80,IF(D80="NonRes Process",VLOOKUP(K80,#REF!,42)*H80,IF(D80="NonRes Refrigeration",VLOOKUP(K80,#REF!,44)*H80,IF(D80="NonRes Ventilation",VLOOKUP(K80,#REF!,46)*H80,0))))))))))))))))))))))</f>
        <v>0</v>
      </c>
      <c r="U80" s="18">
        <f>IF(E80="Annual",VLOOKUP(K80,#REF!,4)*'3.6 - Open'!J80,IF(E80="Winter",VLOOKUP('3.6 - Open'!K80,#REF!,5)*'3.6 - Open'!J80,IF(E80="NA",0,0)))</f>
        <v>0</v>
      </c>
      <c r="V80" s="19">
        <f t="shared" si="35"/>
        <v>0</v>
      </c>
      <c r="W80" s="19">
        <f t="shared" si="36"/>
        <v>0</v>
      </c>
      <c r="X80" s="19">
        <f t="shared" si="37"/>
        <v>0</v>
      </c>
      <c r="Y80" s="19">
        <f t="shared" si="38"/>
        <v>0</v>
      </c>
      <c r="Z80" s="20" t="e">
        <f>(T80+U80+(PV(#REF!,'3.6 - Open'!K80,'3.6 - Open'!P80)*-1)+'3.6 - Open'!O80)/'3.6 - Open'!F80</f>
        <v>#REF!</v>
      </c>
      <c r="AA80" s="20" t="e">
        <f t="shared" si="39"/>
        <v>#DIV/0!</v>
      </c>
      <c r="AB80" s="21">
        <f t="shared" si="40"/>
        <v>0</v>
      </c>
      <c r="AC80" s="20">
        <f t="shared" si="41"/>
        <v>0</v>
      </c>
      <c r="AD80" s="20">
        <f t="shared" si="42"/>
        <v>0</v>
      </c>
      <c r="AE80" s="20">
        <f t="shared" si="43"/>
        <v>0</v>
      </c>
      <c r="AF80" s="19">
        <f t="shared" si="44"/>
        <v>0</v>
      </c>
      <c r="AG80" s="19">
        <f t="shared" si="45"/>
        <v>0</v>
      </c>
      <c r="AH80" s="19">
        <f t="shared" si="46"/>
        <v>0</v>
      </c>
      <c r="AI80" s="19">
        <f t="shared" si="47"/>
        <v>0</v>
      </c>
      <c r="AJ80" s="15">
        <v>0</v>
      </c>
      <c r="AK80" s="19">
        <f t="shared" si="50"/>
        <v>0</v>
      </c>
      <c r="AL80" s="19">
        <f t="shared" si="51"/>
        <v>0</v>
      </c>
      <c r="AM80" s="19">
        <f t="shared" si="48"/>
        <v>0</v>
      </c>
      <c r="AN80" s="19" t="e">
        <f t="shared" si="49"/>
        <v>#DIV/0!</v>
      </c>
      <c r="AO80" s="19" t="e">
        <f t="shared" si="52"/>
        <v>#DIV/0!</v>
      </c>
      <c r="AP80" s="18" t="e">
        <f>-PV(#REF!,'3.6 - Open'!K80,'3.6 - Open'!P80)*'3.6 - Open'!B80</f>
        <v>#REF!</v>
      </c>
      <c r="AQ80" s="19" t="e">
        <f t="shared" si="53"/>
        <v>#REF!</v>
      </c>
      <c r="AR80" s="19" t="e">
        <f t="shared" si="54"/>
        <v>#REF!</v>
      </c>
      <c r="AS80" s="18" t="e">
        <f>B80*H80*K80*#REF!</f>
        <v>#REF!</v>
      </c>
      <c r="AT80" s="19" t="e">
        <f>B80*J80*K80*#REF!</f>
        <v>#REF!</v>
      </c>
      <c r="AU80" s="6"/>
      <c r="AV80" s="6"/>
      <c r="AW80" s="6"/>
      <c r="AX80" s="6"/>
      <c r="AY80" s="6"/>
    </row>
    <row r="81" spans="1:51" x14ac:dyDescent="0.25">
      <c r="A81" s="14"/>
      <c r="B81" s="14"/>
      <c r="C81" s="15"/>
      <c r="D81" s="14"/>
      <c r="E81" s="14" t="s">
        <v>24</v>
      </c>
      <c r="F81" s="15"/>
      <c r="G81" s="15"/>
      <c r="H81" s="14"/>
      <c r="I81" s="15"/>
      <c r="J81" s="14"/>
      <c r="K81" s="14"/>
      <c r="L81" s="15"/>
      <c r="M81" s="15"/>
      <c r="N81" s="15"/>
      <c r="O81" s="15"/>
      <c r="P81" s="15"/>
      <c r="Q81" s="15"/>
      <c r="R81" s="15"/>
      <c r="S81" s="15"/>
      <c r="T81" s="18">
        <f>IF(D81="Res Space Heat",VLOOKUP(K81,#REF!,4)*H81,IF(D81="Res AC",VLOOKUP(K81,#REF!,6)*H81,IF(D81="Res Lighting",VLOOKUP(K81,#REF!,8)*H81,IF(D81="Res Refrigeration",VLOOKUP(K81,#REF!,10)*H81,IF(D81="Res Water Heating",VLOOKUP(K81,#REF!,12)*H81,IF(D81="Res Dishwasher",VLOOKUP(K81,#REF!,14)*H81,IF(D81="Res Washer Dryer",VLOOKUP(K81,#REF!,16)*H81,IF(D81="Res Misc",VLOOKUP(K81,#REF!,18)*H81,IF(D81="Res Furnace Fan",VLOOKUP(K81,#REF!,20)*H81,IF(D81="NonRes Compressed Air",VLOOKUP(K81,#REF!,22)*H81,IF(D81="NonRes Cooking",VLOOKUP(K81,#REF!,24)*H81,IF(D81="NonRes Space Cooling",VLOOKUP(K81,#REF!,26)*H81,IF(D81="NonRes Exterior Lighting",VLOOKUP(K81,#REF!,28)*H81,IF(D81="NonRes Space Heating",VLOOKUP(K81,#REF!,30)*H81,IF(D81="NonRes Water Heating",VLOOKUP(K81,#REF!,32)*H81,IF(D81="NonRes Interior Lighting",VLOOKUP(K81,#REF!,34)*H81,IF(D81="NonRes Misc",VLOOKUP(K81,#REF!,36)*H81,IF(D81="NonRes Motors",VLOOKUP(K81,#REF!,38)*H81,IF(D81="NonRes Office Equipment",VLOOKUP(K81,#REF!,40)*H81,IF(D81="NonRes Process",VLOOKUP(K81,#REF!,42)*H81,IF(D81="NonRes Refrigeration",VLOOKUP(K81,#REF!,44)*H81,IF(D81="NonRes Ventilation",VLOOKUP(K81,#REF!,46)*H81,0))))))))))))))))))))))</f>
        <v>0</v>
      </c>
      <c r="U81" s="18">
        <f>IF(E81="Annual",VLOOKUP(K81,#REF!,4)*'3.6 - Open'!J81,IF(E81="Winter",VLOOKUP('3.6 - Open'!K81,#REF!,5)*'3.6 - Open'!J81,IF(E81="NA",0,0)))</f>
        <v>0</v>
      </c>
      <c r="V81" s="19">
        <f t="shared" si="35"/>
        <v>0</v>
      </c>
      <c r="W81" s="19">
        <f t="shared" si="36"/>
        <v>0</v>
      </c>
      <c r="X81" s="19">
        <f t="shared" si="37"/>
        <v>0</v>
      </c>
      <c r="Y81" s="19">
        <f t="shared" si="38"/>
        <v>0</v>
      </c>
      <c r="Z81" s="20" t="e">
        <f>(T81+U81+(PV(#REF!,'3.6 - Open'!K81,'3.6 - Open'!P81)*-1)+'3.6 - Open'!O81)/'3.6 - Open'!F81</f>
        <v>#REF!</v>
      </c>
      <c r="AA81" s="20" t="e">
        <f t="shared" si="39"/>
        <v>#DIV/0!</v>
      </c>
      <c r="AB81" s="21">
        <f t="shared" si="40"/>
        <v>0</v>
      </c>
      <c r="AC81" s="20">
        <f t="shared" si="41"/>
        <v>0</v>
      </c>
      <c r="AD81" s="20">
        <f t="shared" si="42"/>
        <v>0</v>
      </c>
      <c r="AE81" s="20">
        <f t="shared" si="43"/>
        <v>0</v>
      </c>
      <c r="AF81" s="19">
        <f t="shared" si="44"/>
        <v>0</v>
      </c>
      <c r="AG81" s="19">
        <f t="shared" si="45"/>
        <v>0</v>
      </c>
      <c r="AH81" s="19">
        <f t="shared" si="46"/>
        <v>0</v>
      </c>
      <c r="AI81" s="19">
        <f t="shared" si="47"/>
        <v>0</v>
      </c>
      <c r="AJ81" s="15">
        <v>0</v>
      </c>
      <c r="AK81" s="19">
        <f t="shared" si="50"/>
        <v>0</v>
      </c>
      <c r="AL81" s="19">
        <f t="shared" si="51"/>
        <v>0</v>
      </c>
      <c r="AM81" s="19">
        <f t="shared" si="48"/>
        <v>0</v>
      </c>
      <c r="AN81" s="19" t="e">
        <f t="shared" si="49"/>
        <v>#DIV/0!</v>
      </c>
      <c r="AO81" s="19" t="e">
        <f t="shared" si="52"/>
        <v>#DIV/0!</v>
      </c>
      <c r="AP81" s="18" t="e">
        <f>-PV(#REF!,'3.6 - Open'!K81,'3.6 - Open'!P81)*'3.6 - Open'!B81</f>
        <v>#REF!</v>
      </c>
      <c r="AQ81" s="19" t="e">
        <f t="shared" si="53"/>
        <v>#REF!</v>
      </c>
      <c r="AR81" s="19" t="e">
        <f t="shared" si="54"/>
        <v>#REF!</v>
      </c>
      <c r="AS81" s="18" t="e">
        <f>B81*H81*K81*#REF!</f>
        <v>#REF!</v>
      </c>
      <c r="AT81" s="19" t="e">
        <f>B81*J81*K81*#REF!</f>
        <v>#REF!</v>
      </c>
      <c r="AU81" s="6"/>
      <c r="AV81" s="6"/>
      <c r="AW81" s="6"/>
      <c r="AX81" s="6"/>
      <c r="AY81" s="6"/>
    </row>
    <row r="82" spans="1:51" x14ac:dyDescent="0.25">
      <c r="A82" s="14"/>
      <c r="B82" s="14"/>
      <c r="C82" s="15"/>
      <c r="D82" s="14"/>
      <c r="E82" s="14" t="s">
        <v>24</v>
      </c>
      <c r="F82" s="15"/>
      <c r="G82" s="15"/>
      <c r="H82" s="14"/>
      <c r="I82" s="15"/>
      <c r="J82" s="14"/>
      <c r="K82" s="14"/>
      <c r="L82" s="15"/>
      <c r="M82" s="15"/>
      <c r="N82" s="15"/>
      <c r="O82" s="15"/>
      <c r="P82" s="15"/>
      <c r="Q82" s="15"/>
      <c r="R82" s="15"/>
      <c r="S82" s="15"/>
      <c r="T82" s="18">
        <f>IF(D82="Res Space Heat",VLOOKUP(K82,#REF!,4)*H82,IF(D82="Res AC",VLOOKUP(K82,#REF!,6)*H82,IF(D82="Res Lighting",VLOOKUP(K82,#REF!,8)*H82,IF(D82="Res Refrigeration",VLOOKUP(K82,#REF!,10)*H82,IF(D82="Res Water Heating",VLOOKUP(K82,#REF!,12)*H82,IF(D82="Res Dishwasher",VLOOKUP(K82,#REF!,14)*H82,IF(D82="Res Washer Dryer",VLOOKUP(K82,#REF!,16)*H82,IF(D82="Res Misc",VLOOKUP(K82,#REF!,18)*H82,IF(D82="Res Furnace Fan",VLOOKUP(K82,#REF!,20)*H82,IF(D82="NonRes Compressed Air",VLOOKUP(K82,#REF!,22)*H82,IF(D82="NonRes Cooking",VLOOKUP(K82,#REF!,24)*H82,IF(D82="NonRes Space Cooling",VLOOKUP(K82,#REF!,26)*H82,IF(D82="NonRes Exterior Lighting",VLOOKUP(K82,#REF!,28)*H82,IF(D82="NonRes Space Heating",VLOOKUP(K82,#REF!,30)*H82,IF(D82="NonRes Water Heating",VLOOKUP(K82,#REF!,32)*H82,IF(D82="NonRes Interior Lighting",VLOOKUP(K82,#REF!,34)*H82,IF(D82="NonRes Misc",VLOOKUP(K82,#REF!,36)*H82,IF(D82="NonRes Motors",VLOOKUP(K82,#REF!,38)*H82,IF(D82="NonRes Office Equipment",VLOOKUP(K82,#REF!,40)*H82,IF(D82="NonRes Process",VLOOKUP(K82,#REF!,42)*H82,IF(D82="NonRes Refrigeration",VLOOKUP(K82,#REF!,44)*H82,IF(D82="NonRes Ventilation",VLOOKUP(K82,#REF!,46)*H82,0))))))))))))))))))))))</f>
        <v>0</v>
      </c>
      <c r="U82" s="18">
        <f>IF(E82="Annual",VLOOKUP(K82,#REF!,4)*'3.6 - Open'!J82,IF(E82="Winter",VLOOKUP('3.6 - Open'!K82,#REF!,5)*'3.6 - Open'!J82,IF(E82="NA",0,0)))</f>
        <v>0</v>
      </c>
      <c r="V82" s="19">
        <f t="shared" si="35"/>
        <v>0</v>
      </c>
      <c r="W82" s="19">
        <f t="shared" si="36"/>
        <v>0</v>
      </c>
      <c r="X82" s="19">
        <f t="shared" si="37"/>
        <v>0</v>
      </c>
      <c r="Y82" s="19">
        <f t="shared" si="38"/>
        <v>0</v>
      </c>
      <c r="Z82" s="20" t="e">
        <f>(T82+U82+(PV(#REF!,'3.6 - Open'!K82,'3.6 - Open'!P82)*-1)+'3.6 - Open'!O82)/'3.6 - Open'!F82</f>
        <v>#REF!</v>
      </c>
      <c r="AA82" s="20" t="e">
        <f t="shared" si="39"/>
        <v>#DIV/0!</v>
      </c>
      <c r="AB82" s="21">
        <f t="shared" si="40"/>
        <v>0</v>
      </c>
      <c r="AC82" s="20">
        <f t="shared" si="41"/>
        <v>0</v>
      </c>
      <c r="AD82" s="20">
        <f t="shared" si="42"/>
        <v>0</v>
      </c>
      <c r="AE82" s="20">
        <f t="shared" si="43"/>
        <v>0</v>
      </c>
      <c r="AF82" s="19">
        <f t="shared" si="44"/>
        <v>0</v>
      </c>
      <c r="AG82" s="19">
        <f t="shared" si="45"/>
        <v>0</v>
      </c>
      <c r="AH82" s="19">
        <f t="shared" si="46"/>
        <v>0</v>
      </c>
      <c r="AI82" s="19">
        <f t="shared" si="47"/>
        <v>0</v>
      </c>
      <c r="AJ82" s="15">
        <v>0</v>
      </c>
      <c r="AK82" s="19">
        <f t="shared" si="50"/>
        <v>0</v>
      </c>
      <c r="AL82" s="19">
        <f t="shared" si="51"/>
        <v>0</v>
      </c>
      <c r="AM82" s="19">
        <f t="shared" si="48"/>
        <v>0</v>
      </c>
      <c r="AN82" s="19" t="e">
        <f t="shared" si="49"/>
        <v>#DIV/0!</v>
      </c>
      <c r="AO82" s="19" t="e">
        <f t="shared" si="52"/>
        <v>#DIV/0!</v>
      </c>
      <c r="AP82" s="18" t="e">
        <f>-PV(#REF!,'3.6 - Open'!K82,'3.6 - Open'!P82)*'3.6 - Open'!B82</f>
        <v>#REF!</v>
      </c>
      <c r="AQ82" s="19" t="e">
        <f t="shared" si="53"/>
        <v>#REF!</v>
      </c>
      <c r="AR82" s="19" t="e">
        <f t="shared" si="54"/>
        <v>#REF!</v>
      </c>
      <c r="AS82" s="18" t="e">
        <f>B82*H82*K82*#REF!</f>
        <v>#REF!</v>
      </c>
      <c r="AT82" s="19" t="e">
        <f>B82*J82*K82*#REF!</f>
        <v>#REF!</v>
      </c>
      <c r="AU82" s="6"/>
      <c r="AV82" s="6"/>
      <c r="AW82" s="6"/>
      <c r="AX82" s="6"/>
      <c r="AY82" s="6"/>
    </row>
    <row r="83" spans="1:51" x14ac:dyDescent="0.25">
      <c r="A83" s="14"/>
      <c r="B83" s="14"/>
      <c r="C83" s="15"/>
      <c r="D83" s="14"/>
      <c r="E83" s="14" t="s">
        <v>24</v>
      </c>
      <c r="F83" s="15"/>
      <c r="G83" s="15"/>
      <c r="H83" s="14"/>
      <c r="I83" s="15"/>
      <c r="J83" s="14"/>
      <c r="K83" s="14"/>
      <c r="L83" s="15"/>
      <c r="M83" s="15"/>
      <c r="N83" s="15"/>
      <c r="O83" s="15"/>
      <c r="P83" s="15"/>
      <c r="Q83" s="15"/>
      <c r="R83" s="15"/>
      <c r="S83" s="15"/>
      <c r="T83" s="18">
        <f>IF(D83="Res Space Heat",VLOOKUP(K83,#REF!,4)*H83,IF(D83="Res AC",VLOOKUP(K83,#REF!,6)*H83,IF(D83="Res Lighting",VLOOKUP(K83,#REF!,8)*H83,IF(D83="Res Refrigeration",VLOOKUP(K83,#REF!,10)*H83,IF(D83="Res Water Heating",VLOOKUP(K83,#REF!,12)*H83,IF(D83="Res Dishwasher",VLOOKUP(K83,#REF!,14)*H83,IF(D83="Res Washer Dryer",VLOOKUP(K83,#REF!,16)*H83,IF(D83="Res Misc",VLOOKUP(K83,#REF!,18)*H83,IF(D83="Res Furnace Fan",VLOOKUP(K83,#REF!,20)*H83,IF(D83="NonRes Compressed Air",VLOOKUP(K83,#REF!,22)*H83,IF(D83="NonRes Cooking",VLOOKUP(K83,#REF!,24)*H83,IF(D83="NonRes Space Cooling",VLOOKUP(K83,#REF!,26)*H83,IF(D83="NonRes Exterior Lighting",VLOOKUP(K83,#REF!,28)*H83,IF(D83="NonRes Space Heating",VLOOKUP(K83,#REF!,30)*H83,IF(D83="NonRes Water Heating",VLOOKUP(K83,#REF!,32)*H83,IF(D83="NonRes Interior Lighting",VLOOKUP(K83,#REF!,34)*H83,IF(D83="NonRes Misc",VLOOKUP(K83,#REF!,36)*H83,IF(D83="NonRes Motors",VLOOKUP(K83,#REF!,38)*H83,IF(D83="NonRes Office Equipment",VLOOKUP(K83,#REF!,40)*H83,IF(D83="NonRes Process",VLOOKUP(K83,#REF!,42)*H83,IF(D83="NonRes Refrigeration",VLOOKUP(K83,#REF!,44)*H83,IF(D83="NonRes Ventilation",VLOOKUP(K83,#REF!,46)*H83,0))))))))))))))))))))))</f>
        <v>0</v>
      </c>
      <c r="U83" s="18">
        <f>IF(E83="Annual",VLOOKUP(K83,#REF!,4)*'3.6 - Open'!J83,IF(E83="Winter",VLOOKUP('3.6 - Open'!K83,#REF!,5)*'3.6 - Open'!J83,IF(E83="NA",0,0)))</f>
        <v>0</v>
      </c>
      <c r="V83" s="19">
        <f t="shared" si="35"/>
        <v>0</v>
      </c>
      <c r="W83" s="19">
        <f t="shared" si="36"/>
        <v>0</v>
      </c>
      <c r="X83" s="19">
        <f t="shared" si="37"/>
        <v>0</v>
      </c>
      <c r="Y83" s="19">
        <f t="shared" si="38"/>
        <v>0</v>
      </c>
      <c r="Z83" s="20" t="e">
        <f>(T83+U83+(PV(#REF!,'3.6 - Open'!K83,'3.6 - Open'!P83)*-1)+'3.6 - Open'!O83)/'3.6 - Open'!F83</f>
        <v>#REF!</v>
      </c>
      <c r="AA83" s="20" t="e">
        <f t="shared" si="39"/>
        <v>#DIV/0!</v>
      </c>
      <c r="AB83" s="21">
        <f t="shared" si="40"/>
        <v>0</v>
      </c>
      <c r="AC83" s="20">
        <f t="shared" si="41"/>
        <v>0</v>
      </c>
      <c r="AD83" s="20">
        <f t="shared" si="42"/>
        <v>0</v>
      </c>
      <c r="AE83" s="20">
        <f t="shared" si="43"/>
        <v>0</v>
      </c>
      <c r="AF83" s="19">
        <f t="shared" si="44"/>
        <v>0</v>
      </c>
      <c r="AG83" s="19">
        <f t="shared" si="45"/>
        <v>0</v>
      </c>
      <c r="AH83" s="19">
        <f t="shared" si="46"/>
        <v>0</v>
      </c>
      <c r="AI83" s="19">
        <f t="shared" si="47"/>
        <v>0</v>
      </c>
      <c r="AJ83" s="15">
        <v>0</v>
      </c>
      <c r="AK83" s="19">
        <f t="shared" si="50"/>
        <v>0</v>
      </c>
      <c r="AL83" s="19">
        <f t="shared" si="51"/>
        <v>0</v>
      </c>
      <c r="AM83" s="19">
        <f t="shared" si="48"/>
        <v>0</v>
      </c>
      <c r="AN83" s="19" t="e">
        <f t="shared" si="49"/>
        <v>#DIV/0!</v>
      </c>
      <c r="AO83" s="19" t="e">
        <f t="shared" si="52"/>
        <v>#DIV/0!</v>
      </c>
      <c r="AP83" s="18" t="e">
        <f>-PV(#REF!,'3.6 - Open'!K83,'3.6 - Open'!P83)*'3.6 - Open'!B83</f>
        <v>#REF!</v>
      </c>
      <c r="AQ83" s="19" t="e">
        <f t="shared" si="53"/>
        <v>#REF!</v>
      </c>
      <c r="AR83" s="19" t="e">
        <f t="shared" si="54"/>
        <v>#REF!</v>
      </c>
      <c r="AS83" s="18" t="e">
        <f>B83*H83*K83*#REF!</f>
        <v>#REF!</v>
      </c>
      <c r="AT83" s="19" t="e">
        <f>B83*J83*K83*#REF!</f>
        <v>#REF!</v>
      </c>
      <c r="AU83" s="6"/>
      <c r="AV83" s="6"/>
      <c r="AW83" s="6"/>
      <c r="AX83" s="6"/>
      <c r="AY83" s="6"/>
    </row>
    <row r="84" spans="1:51" x14ac:dyDescent="0.25">
      <c r="A84" s="14"/>
      <c r="B84" s="14"/>
      <c r="C84" s="15"/>
      <c r="D84" s="14"/>
      <c r="E84" s="14" t="s">
        <v>24</v>
      </c>
      <c r="F84" s="15"/>
      <c r="G84" s="15"/>
      <c r="H84" s="14"/>
      <c r="I84" s="15"/>
      <c r="J84" s="14"/>
      <c r="K84" s="14"/>
      <c r="L84" s="15"/>
      <c r="M84" s="15"/>
      <c r="N84" s="15"/>
      <c r="O84" s="15"/>
      <c r="P84" s="15"/>
      <c r="Q84" s="15"/>
      <c r="R84" s="15"/>
      <c r="S84" s="15"/>
      <c r="T84" s="18">
        <f>IF(D84="Res Space Heat",VLOOKUP(K84,#REF!,4)*H84,IF(D84="Res AC",VLOOKUP(K84,#REF!,6)*H84,IF(D84="Res Lighting",VLOOKUP(K84,#REF!,8)*H84,IF(D84="Res Refrigeration",VLOOKUP(K84,#REF!,10)*H84,IF(D84="Res Water Heating",VLOOKUP(K84,#REF!,12)*H84,IF(D84="Res Dishwasher",VLOOKUP(K84,#REF!,14)*H84,IF(D84="Res Washer Dryer",VLOOKUP(K84,#REF!,16)*H84,IF(D84="Res Misc",VLOOKUP(K84,#REF!,18)*H84,IF(D84="Res Furnace Fan",VLOOKUP(K84,#REF!,20)*H84,IF(D84="NonRes Compressed Air",VLOOKUP(K84,#REF!,22)*H84,IF(D84="NonRes Cooking",VLOOKUP(K84,#REF!,24)*H84,IF(D84="NonRes Space Cooling",VLOOKUP(K84,#REF!,26)*H84,IF(D84="NonRes Exterior Lighting",VLOOKUP(K84,#REF!,28)*H84,IF(D84="NonRes Space Heating",VLOOKUP(K84,#REF!,30)*H84,IF(D84="NonRes Water Heating",VLOOKUP(K84,#REF!,32)*H84,IF(D84="NonRes Interior Lighting",VLOOKUP(K84,#REF!,34)*H84,IF(D84="NonRes Misc",VLOOKUP(K84,#REF!,36)*H84,IF(D84="NonRes Motors",VLOOKUP(K84,#REF!,38)*H84,IF(D84="NonRes Office Equipment",VLOOKUP(K84,#REF!,40)*H84,IF(D84="NonRes Process",VLOOKUP(K84,#REF!,42)*H84,IF(D84="NonRes Refrigeration",VLOOKUP(K84,#REF!,44)*H84,IF(D84="NonRes Ventilation",VLOOKUP(K84,#REF!,46)*H84,0))))))))))))))))))))))</f>
        <v>0</v>
      </c>
      <c r="U84" s="18">
        <f>IF(E84="Annual",VLOOKUP(K84,#REF!,4)*'3.6 - Open'!J84,IF(E84="Winter",VLOOKUP('3.6 - Open'!K84,#REF!,5)*'3.6 - Open'!J84,IF(E84="NA",0,0)))</f>
        <v>0</v>
      </c>
      <c r="V84" s="19">
        <f t="shared" si="35"/>
        <v>0</v>
      </c>
      <c r="W84" s="19">
        <f t="shared" si="36"/>
        <v>0</v>
      </c>
      <c r="X84" s="19">
        <f t="shared" si="37"/>
        <v>0</v>
      </c>
      <c r="Y84" s="19">
        <f t="shared" si="38"/>
        <v>0</v>
      </c>
      <c r="Z84" s="20" t="e">
        <f>(T84+U84+(PV(#REF!,'3.6 - Open'!K84,'3.6 - Open'!P84)*-1)+'3.6 - Open'!O84)/'3.6 - Open'!F84</f>
        <v>#REF!</v>
      </c>
      <c r="AA84" s="20" t="e">
        <f t="shared" si="39"/>
        <v>#DIV/0!</v>
      </c>
      <c r="AB84" s="21">
        <f t="shared" si="40"/>
        <v>0</v>
      </c>
      <c r="AC84" s="20">
        <f t="shared" si="41"/>
        <v>0</v>
      </c>
      <c r="AD84" s="20">
        <f t="shared" si="42"/>
        <v>0</v>
      </c>
      <c r="AE84" s="20">
        <f t="shared" si="43"/>
        <v>0</v>
      </c>
      <c r="AF84" s="19">
        <f t="shared" si="44"/>
        <v>0</v>
      </c>
      <c r="AG84" s="19">
        <f t="shared" si="45"/>
        <v>0</v>
      </c>
      <c r="AH84" s="19">
        <f t="shared" si="46"/>
        <v>0</v>
      </c>
      <c r="AI84" s="19">
        <f t="shared" si="47"/>
        <v>0</v>
      </c>
      <c r="AJ84" s="15">
        <v>0</v>
      </c>
      <c r="AK84" s="19">
        <f t="shared" si="50"/>
        <v>0</v>
      </c>
      <c r="AL84" s="19">
        <f t="shared" si="51"/>
        <v>0</v>
      </c>
      <c r="AM84" s="19">
        <f t="shared" si="48"/>
        <v>0</v>
      </c>
      <c r="AN84" s="19" t="e">
        <f t="shared" si="49"/>
        <v>#DIV/0!</v>
      </c>
      <c r="AO84" s="19" t="e">
        <f t="shared" si="52"/>
        <v>#DIV/0!</v>
      </c>
      <c r="AP84" s="18" t="e">
        <f>-PV(#REF!,'3.6 - Open'!K84,'3.6 - Open'!P84)*'3.6 - Open'!B84</f>
        <v>#REF!</v>
      </c>
      <c r="AQ84" s="19" t="e">
        <f t="shared" si="53"/>
        <v>#REF!</v>
      </c>
      <c r="AR84" s="19" t="e">
        <f t="shared" si="54"/>
        <v>#REF!</v>
      </c>
      <c r="AS84" s="18" t="e">
        <f>B84*H84*K84*#REF!</f>
        <v>#REF!</v>
      </c>
      <c r="AT84" s="19" t="e">
        <f>B84*J84*K84*#REF!</f>
        <v>#REF!</v>
      </c>
      <c r="AU84" s="6"/>
      <c r="AV84" s="6"/>
      <c r="AW84" s="6"/>
      <c r="AX84" s="6"/>
      <c r="AY84" s="6"/>
    </row>
    <row r="85" spans="1:51" x14ac:dyDescent="0.25">
      <c r="A85" s="14"/>
      <c r="B85" s="14"/>
      <c r="C85" s="15"/>
      <c r="D85" s="14"/>
      <c r="E85" s="14" t="s">
        <v>24</v>
      </c>
      <c r="F85" s="15"/>
      <c r="G85" s="15"/>
      <c r="H85" s="14"/>
      <c r="I85" s="15"/>
      <c r="J85" s="14"/>
      <c r="K85" s="14"/>
      <c r="L85" s="15"/>
      <c r="M85" s="15"/>
      <c r="N85" s="15"/>
      <c r="O85" s="15"/>
      <c r="P85" s="15"/>
      <c r="Q85" s="15"/>
      <c r="R85" s="15"/>
      <c r="S85" s="15"/>
      <c r="T85" s="18">
        <f>IF(D85="Res Space Heat",VLOOKUP(K85,#REF!,4)*H85,IF(D85="Res AC",VLOOKUP(K85,#REF!,6)*H85,IF(D85="Res Lighting",VLOOKUP(K85,#REF!,8)*H85,IF(D85="Res Refrigeration",VLOOKUP(K85,#REF!,10)*H85,IF(D85="Res Water Heating",VLOOKUP(K85,#REF!,12)*H85,IF(D85="Res Dishwasher",VLOOKUP(K85,#REF!,14)*H85,IF(D85="Res Washer Dryer",VLOOKUP(K85,#REF!,16)*H85,IF(D85="Res Misc",VLOOKUP(K85,#REF!,18)*H85,IF(D85="Res Furnace Fan",VLOOKUP(K85,#REF!,20)*H85,IF(D85="NonRes Compressed Air",VLOOKUP(K85,#REF!,22)*H85,IF(D85="NonRes Cooking",VLOOKUP(K85,#REF!,24)*H85,IF(D85="NonRes Space Cooling",VLOOKUP(K85,#REF!,26)*H85,IF(D85="NonRes Exterior Lighting",VLOOKUP(K85,#REF!,28)*H85,IF(D85="NonRes Space Heating",VLOOKUP(K85,#REF!,30)*H85,IF(D85="NonRes Water Heating",VLOOKUP(K85,#REF!,32)*H85,IF(D85="NonRes Interior Lighting",VLOOKUP(K85,#REF!,34)*H85,IF(D85="NonRes Misc",VLOOKUP(K85,#REF!,36)*H85,IF(D85="NonRes Motors",VLOOKUP(K85,#REF!,38)*H85,IF(D85="NonRes Office Equipment",VLOOKUP(K85,#REF!,40)*H85,IF(D85="NonRes Process",VLOOKUP(K85,#REF!,42)*H85,IF(D85="NonRes Refrigeration",VLOOKUP(K85,#REF!,44)*H85,IF(D85="NonRes Ventilation",VLOOKUP(K85,#REF!,46)*H85,0))))))))))))))))))))))</f>
        <v>0</v>
      </c>
      <c r="U85" s="18">
        <f>IF(E85="Annual",VLOOKUP(K85,#REF!,4)*'3.6 - Open'!J85,IF(E85="Winter",VLOOKUP('3.6 - Open'!K85,#REF!,5)*'3.6 - Open'!J85,IF(E85="NA",0,0)))</f>
        <v>0</v>
      </c>
      <c r="V85" s="19">
        <f t="shared" si="35"/>
        <v>0</v>
      </c>
      <c r="W85" s="19">
        <f t="shared" si="36"/>
        <v>0</v>
      </c>
      <c r="X85" s="19">
        <f t="shared" si="37"/>
        <v>0</v>
      </c>
      <c r="Y85" s="19">
        <f t="shared" si="38"/>
        <v>0</v>
      </c>
      <c r="Z85" s="20" t="e">
        <f>(T85+U85+(PV(#REF!,'3.6 - Open'!K85,'3.6 - Open'!P85)*-1)+'3.6 - Open'!O85)/'3.6 - Open'!F85</f>
        <v>#REF!</v>
      </c>
      <c r="AA85" s="20" t="e">
        <f t="shared" si="39"/>
        <v>#DIV/0!</v>
      </c>
      <c r="AB85" s="21">
        <f t="shared" si="40"/>
        <v>0</v>
      </c>
      <c r="AC85" s="20">
        <f t="shared" si="41"/>
        <v>0</v>
      </c>
      <c r="AD85" s="20">
        <f t="shared" si="42"/>
        <v>0</v>
      </c>
      <c r="AE85" s="20">
        <f t="shared" si="43"/>
        <v>0</v>
      </c>
      <c r="AF85" s="19">
        <f t="shared" si="44"/>
        <v>0</v>
      </c>
      <c r="AG85" s="19">
        <f t="shared" si="45"/>
        <v>0</v>
      </c>
      <c r="AH85" s="19">
        <f t="shared" si="46"/>
        <v>0</v>
      </c>
      <c r="AI85" s="19">
        <f t="shared" si="47"/>
        <v>0</v>
      </c>
      <c r="AJ85" s="15">
        <v>0</v>
      </c>
      <c r="AK85" s="19">
        <f t="shared" si="50"/>
        <v>0</v>
      </c>
      <c r="AL85" s="19">
        <f t="shared" si="51"/>
        <v>0</v>
      </c>
      <c r="AM85" s="19">
        <f t="shared" si="48"/>
        <v>0</v>
      </c>
      <c r="AN85" s="19" t="e">
        <f t="shared" si="49"/>
        <v>#DIV/0!</v>
      </c>
      <c r="AO85" s="19" t="e">
        <f t="shared" si="52"/>
        <v>#DIV/0!</v>
      </c>
      <c r="AP85" s="18" t="e">
        <f>-PV(#REF!,'3.6 - Open'!K85,'3.6 - Open'!P85)*'3.6 - Open'!B85</f>
        <v>#REF!</v>
      </c>
      <c r="AQ85" s="19" t="e">
        <f t="shared" si="53"/>
        <v>#REF!</v>
      </c>
      <c r="AR85" s="19" t="e">
        <f t="shared" si="54"/>
        <v>#REF!</v>
      </c>
      <c r="AS85" s="18" t="e">
        <f>B85*H85*K85*#REF!</f>
        <v>#REF!</v>
      </c>
      <c r="AT85" s="19" t="e">
        <f>B85*J85*K85*#REF!</f>
        <v>#REF!</v>
      </c>
      <c r="AU85" s="6"/>
      <c r="AV85" s="6"/>
      <c r="AW85" s="6"/>
      <c r="AX85" s="6"/>
      <c r="AY85" s="6"/>
    </row>
    <row r="86" spans="1:51" x14ac:dyDescent="0.25">
      <c r="A86" s="14"/>
      <c r="B86" s="14"/>
      <c r="C86" s="15"/>
      <c r="D86" s="14"/>
      <c r="E86" s="14" t="s">
        <v>24</v>
      </c>
      <c r="F86" s="15"/>
      <c r="G86" s="15"/>
      <c r="H86" s="14"/>
      <c r="I86" s="15"/>
      <c r="J86" s="14"/>
      <c r="K86" s="14"/>
      <c r="L86" s="15"/>
      <c r="M86" s="15"/>
      <c r="N86" s="15"/>
      <c r="O86" s="15"/>
      <c r="P86" s="15"/>
      <c r="Q86" s="15"/>
      <c r="R86" s="15"/>
      <c r="S86" s="15"/>
      <c r="T86" s="18">
        <f>IF(D86="Res Space Heat",VLOOKUP(K86,#REF!,4)*H86,IF(D86="Res AC",VLOOKUP(K86,#REF!,6)*H86,IF(D86="Res Lighting",VLOOKUP(K86,#REF!,8)*H86,IF(D86="Res Refrigeration",VLOOKUP(K86,#REF!,10)*H86,IF(D86="Res Water Heating",VLOOKUP(K86,#REF!,12)*H86,IF(D86="Res Dishwasher",VLOOKUP(K86,#REF!,14)*H86,IF(D86="Res Washer Dryer",VLOOKUP(K86,#REF!,16)*H86,IF(D86="Res Misc",VLOOKUP(K86,#REF!,18)*H86,IF(D86="Res Furnace Fan",VLOOKUP(K86,#REF!,20)*H86,IF(D86="NonRes Compressed Air",VLOOKUP(K86,#REF!,22)*H86,IF(D86="NonRes Cooking",VLOOKUP(K86,#REF!,24)*H86,IF(D86="NonRes Space Cooling",VLOOKUP(K86,#REF!,26)*H86,IF(D86="NonRes Exterior Lighting",VLOOKUP(K86,#REF!,28)*H86,IF(D86="NonRes Space Heating",VLOOKUP(K86,#REF!,30)*H86,IF(D86="NonRes Water Heating",VLOOKUP(K86,#REF!,32)*H86,IF(D86="NonRes Interior Lighting",VLOOKUP(K86,#REF!,34)*H86,IF(D86="NonRes Misc",VLOOKUP(K86,#REF!,36)*H86,IF(D86="NonRes Motors",VLOOKUP(K86,#REF!,38)*H86,IF(D86="NonRes Office Equipment",VLOOKUP(K86,#REF!,40)*H86,IF(D86="NonRes Process",VLOOKUP(K86,#REF!,42)*H86,IF(D86="NonRes Refrigeration",VLOOKUP(K86,#REF!,44)*H86,IF(D86="NonRes Ventilation",VLOOKUP(K86,#REF!,46)*H86,0))))))))))))))))))))))</f>
        <v>0</v>
      </c>
      <c r="U86" s="18">
        <f>IF(E86="Annual",VLOOKUP(K86,#REF!,4)*'3.6 - Open'!J86,IF(E86="Winter",VLOOKUP('3.6 - Open'!K86,#REF!,5)*'3.6 - Open'!J86,IF(E86="NA",0,0)))</f>
        <v>0</v>
      </c>
      <c r="V86" s="19">
        <f t="shared" si="35"/>
        <v>0</v>
      </c>
      <c r="W86" s="19">
        <f t="shared" si="36"/>
        <v>0</v>
      </c>
      <c r="X86" s="19">
        <f t="shared" si="37"/>
        <v>0</v>
      </c>
      <c r="Y86" s="19">
        <f t="shared" si="38"/>
        <v>0</v>
      </c>
      <c r="Z86" s="20" t="e">
        <f>(T86+U86+(PV(#REF!,'3.6 - Open'!K86,'3.6 - Open'!P86)*-1)+'3.6 - Open'!O86)/'3.6 - Open'!F86</f>
        <v>#REF!</v>
      </c>
      <c r="AA86" s="20" t="e">
        <f t="shared" si="39"/>
        <v>#DIV/0!</v>
      </c>
      <c r="AB86" s="21">
        <f t="shared" si="40"/>
        <v>0</v>
      </c>
      <c r="AC86" s="20">
        <f t="shared" si="41"/>
        <v>0</v>
      </c>
      <c r="AD86" s="20">
        <f t="shared" si="42"/>
        <v>0</v>
      </c>
      <c r="AE86" s="20">
        <f t="shared" si="43"/>
        <v>0</v>
      </c>
      <c r="AF86" s="19">
        <f t="shared" si="44"/>
        <v>0</v>
      </c>
      <c r="AG86" s="19">
        <f t="shared" si="45"/>
        <v>0</v>
      </c>
      <c r="AH86" s="19">
        <f t="shared" si="46"/>
        <v>0</v>
      </c>
      <c r="AI86" s="19">
        <f t="shared" si="47"/>
        <v>0</v>
      </c>
      <c r="AJ86" s="15">
        <v>0</v>
      </c>
      <c r="AK86" s="19">
        <f t="shared" si="50"/>
        <v>0</v>
      </c>
      <c r="AL86" s="19">
        <f t="shared" si="51"/>
        <v>0</v>
      </c>
      <c r="AM86" s="19">
        <f t="shared" si="48"/>
        <v>0</v>
      </c>
      <c r="AN86" s="19" t="e">
        <f t="shared" si="49"/>
        <v>#DIV/0!</v>
      </c>
      <c r="AO86" s="19" t="e">
        <f t="shared" si="52"/>
        <v>#DIV/0!</v>
      </c>
      <c r="AP86" s="18" t="e">
        <f>-PV(#REF!,'3.6 - Open'!K86,'3.6 - Open'!P86)*'3.6 - Open'!B86</f>
        <v>#REF!</v>
      </c>
      <c r="AQ86" s="19" t="e">
        <f t="shared" si="53"/>
        <v>#REF!</v>
      </c>
      <c r="AR86" s="19" t="e">
        <f t="shared" si="54"/>
        <v>#REF!</v>
      </c>
      <c r="AS86" s="18" t="e">
        <f>B86*H86*K86*#REF!</f>
        <v>#REF!</v>
      </c>
      <c r="AT86" s="19" t="e">
        <f>B86*J86*K86*#REF!</f>
        <v>#REF!</v>
      </c>
      <c r="AU86" s="6"/>
      <c r="AV86" s="6"/>
      <c r="AW86" s="6"/>
      <c r="AX86" s="6"/>
      <c r="AY86" s="6"/>
    </row>
    <row r="87" spans="1:51" x14ac:dyDescent="0.25">
      <c r="A87" s="14"/>
      <c r="B87" s="14"/>
      <c r="C87" s="15"/>
      <c r="D87" s="14"/>
      <c r="E87" s="14" t="s">
        <v>24</v>
      </c>
      <c r="F87" s="15"/>
      <c r="G87" s="15"/>
      <c r="H87" s="14"/>
      <c r="I87" s="15"/>
      <c r="J87" s="14"/>
      <c r="K87" s="14"/>
      <c r="L87" s="15"/>
      <c r="M87" s="15"/>
      <c r="N87" s="15"/>
      <c r="O87" s="15"/>
      <c r="P87" s="15"/>
      <c r="Q87" s="15"/>
      <c r="R87" s="15"/>
      <c r="S87" s="15"/>
      <c r="T87" s="18">
        <f>IF(D87="Res Space Heat",VLOOKUP(K87,#REF!,4)*H87,IF(D87="Res AC",VLOOKUP(K87,#REF!,6)*H87,IF(D87="Res Lighting",VLOOKUP(K87,#REF!,8)*H87,IF(D87="Res Refrigeration",VLOOKUP(K87,#REF!,10)*H87,IF(D87="Res Water Heating",VLOOKUP(K87,#REF!,12)*H87,IF(D87="Res Dishwasher",VLOOKUP(K87,#REF!,14)*H87,IF(D87="Res Washer Dryer",VLOOKUP(K87,#REF!,16)*H87,IF(D87="Res Misc",VLOOKUP(K87,#REF!,18)*H87,IF(D87="Res Furnace Fan",VLOOKUP(K87,#REF!,20)*H87,IF(D87="NonRes Compressed Air",VLOOKUP(K87,#REF!,22)*H87,IF(D87="NonRes Cooking",VLOOKUP(K87,#REF!,24)*H87,IF(D87="NonRes Space Cooling",VLOOKUP(K87,#REF!,26)*H87,IF(D87="NonRes Exterior Lighting",VLOOKUP(K87,#REF!,28)*H87,IF(D87="NonRes Space Heating",VLOOKUP(K87,#REF!,30)*H87,IF(D87="NonRes Water Heating",VLOOKUP(K87,#REF!,32)*H87,IF(D87="NonRes Interior Lighting",VLOOKUP(K87,#REF!,34)*H87,IF(D87="NonRes Misc",VLOOKUP(K87,#REF!,36)*H87,IF(D87="NonRes Motors",VLOOKUP(K87,#REF!,38)*H87,IF(D87="NonRes Office Equipment",VLOOKUP(K87,#REF!,40)*H87,IF(D87="NonRes Process",VLOOKUP(K87,#REF!,42)*H87,IF(D87="NonRes Refrigeration",VLOOKUP(K87,#REF!,44)*H87,IF(D87="NonRes Ventilation",VLOOKUP(K87,#REF!,46)*H87,0))))))))))))))))))))))</f>
        <v>0</v>
      </c>
      <c r="U87" s="18">
        <f>IF(E87="Annual",VLOOKUP(K87,#REF!,4)*'3.6 - Open'!J87,IF(E87="Winter",VLOOKUP('3.6 - Open'!K87,#REF!,5)*'3.6 - Open'!J87,IF(E87="NA",0,0)))</f>
        <v>0</v>
      </c>
      <c r="V87" s="19">
        <f t="shared" si="35"/>
        <v>0</v>
      </c>
      <c r="W87" s="19">
        <f t="shared" si="36"/>
        <v>0</v>
      </c>
      <c r="X87" s="19">
        <f t="shared" si="37"/>
        <v>0</v>
      </c>
      <c r="Y87" s="19">
        <f t="shared" si="38"/>
        <v>0</v>
      </c>
      <c r="Z87" s="20" t="e">
        <f>(T87+U87+(PV(#REF!,'3.6 - Open'!K87,'3.6 - Open'!P87)*-1)+'3.6 - Open'!O87)/'3.6 - Open'!F87</f>
        <v>#REF!</v>
      </c>
      <c r="AA87" s="20" t="e">
        <f t="shared" si="39"/>
        <v>#DIV/0!</v>
      </c>
      <c r="AB87" s="21">
        <f t="shared" si="40"/>
        <v>0</v>
      </c>
      <c r="AC87" s="20">
        <f t="shared" si="41"/>
        <v>0</v>
      </c>
      <c r="AD87" s="20">
        <f t="shared" si="42"/>
        <v>0</v>
      </c>
      <c r="AE87" s="20">
        <f t="shared" si="43"/>
        <v>0</v>
      </c>
      <c r="AF87" s="19">
        <f t="shared" si="44"/>
        <v>0</v>
      </c>
      <c r="AG87" s="19">
        <f t="shared" si="45"/>
        <v>0</v>
      </c>
      <c r="AH87" s="19">
        <f t="shared" si="46"/>
        <v>0</v>
      </c>
      <c r="AI87" s="19">
        <f t="shared" si="47"/>
        <v>0</v>
      </c>
      <c r="AJ87" s="15">
        <v>0</v>
      </c>
      <c r="AK87" s="19">
        <f t="shared" si="50"/>
        <v>0</v>
      </c>
      <c r="AL87" s="19">
        <f t="shared" si="51"/>
        <v>0</v>
      </c>
      <c r="AM87" s="19">
        <f t="shared" si="48"/>
        <v>0</v>
      </c>
      <c r="AN87" s="19" t="e">
        <f t="shared" si="49"/>
        <v>#DIV/0!</v>
      </c>
      <c r="AO87" s="19" t="e">
        <f t="shared" si="52"/>
        <v>#DIV/0!</v>
      </c>
      <c r="AP87" s="18" t="e">
        <f>-PV(#REF!,'3.6 - Open'!K87,'3.6 - Open'!P87)*'3.6 - Open'!B87</f>
        <v>#REF!</v>
      </c>
      <c r="AQ87" s="19" t="e">
        <f t="shared" si="53"/>
        <v>#REF!</v>
      </c>
      <c r="AR87" s="19" t="e">
        <f t="shared" si="54"/>
        <v>#REF!</v>
      </c>
      <c r="AS87" s="18" t="e">
        <f>B87*H87*K87*#REF!</f>
        <v>#REF!</v>
      </c>
      <c r="AT87" s="19" t="e">
        <f>B87*J87*K87*#REF!</f>
        <v>#REF!</v>
      </c>
      <c r="AU87" s="6"/>
      <c r="AV87" s="6"/>
      <c r="AW87" s="6"/>
      <c r="AX87" s="6"/>
      <c r="AY87" s="6"/>
    </row>
    <row r="88" spans="1:51" x14ac:dyDescent="0.25">
      <c r="A88" s="14"/>
      <c r="B88" s="14"/>
      <c r="C88" s="15"/>
      <c r="D88" s="14"/>
      <c r="E88" s="14" t="s">
        <v>24</v>
      </c>
      <c r="F88" s="15"/>
      <c r="G88" s="15"/>
      <c r="H88" s="14"/>
      <c r="I88" s="15"/>
      <c r="J88" s="14"/>
      <c r="K88" s="14"/>
      <c r="L88" s="15"/>
      <c r="M88" s="15"/>
      <c r="N88" s="15"/>
      <c r="O88" s="15"/>
      <c r="P88" s="15"/>
      <c r="Q88" s="15"/>
      <c r="R88" s="15"/>
      <c r="S88" s="15"/>
      <c r="T88" s="18">
        <f>IF(D88="Res Space Heat",VLOOKUP(K88,#REF!,4)*H88,IF(D88="Res AC",VLOOKUP(K88,#REF!,6)*H88,IF(D88="Res Lighting",VLOOKUP(K88,#REF!,8)*H88,IF(D88="Res Refrigeration",VLOOKUP(K88,#REF!,10)*H88,IF(D88="Res Water Heating",VLOOKUP(K88,#REF!,12)*H88,IF(D88="Res Dishwasher",VLOOKUP(K88,#REF!,14)*H88,IF(D88="Res Washer Dryer",VLOOKUP(K88,#REF!,16)*H88,IF(D88="Res Misc",VLOOKUP(K88,#REF!,18)*H88,IF(D88="Res Furnace Fan",VLOOKUP(K88,#REF!,20)*H88,IF(D88="NonRes Compressed Air",VLOOKUP(K88,#REF!,22)*H88,IF(D88="NonRes Cooking",VLOOKUP(K88,#REF!,24)*H88,IF(D88="NonRes Space Cooling",VLOOKUP(K88,#REF!,26)*H88,IF(D88="NonRes Exterior Lighting",VLOOKUP(K88,#REF!,28)*H88,IF(D88="NonRes Space Heating",VLOOKUP(K88,#REF!,30)*H88,IF(D88="NonRes Water Heating",VLOOKUP(K88,#REF!,32)*H88,IF(D88="NonRes Interior Lighting",VLOOKUP(K88,#REF!,34)*H88,IF(D88="NonRes Misc",VLOOKUP(K88,#REF!,36)*H88,IF(D88="NonRes Motors",VLOOKUP(K88,#REF!,38)*H88,IF(D88="NonRes Office Equipment",VLOOKUP(K88,#REF!,40)*H88,IF(D88="NonRes Process",VLOOKUP(K88,#REF!,42)*H88,IF(D88="NonRes Refrigeration",VLOOKUP(K88,#REF!,44)*H88,IF(D88="NonRes Ventilation",VLOOKUP(K88,#REF!,46)*H88,0))))))))))))))))))))))</f>
        <v>0</v>
      </c>
      <c r="U88" s="18">
        <f>IF(E88="Annual",VLOOKUP(K88,#REF!,4)*'3.6 - Open'!J88,IF(E88="Winter",VLOOKUP('3.6 - Open'!K88,#REF!,5)*'3.6 - Open'!J88,IF(E88="NA",0,0)))</f>
        <v>0</v>
      </c>
      <c r="V88" s="19">
        <f t="shared" si="35"/>
        <v>0</v>
      </c>
      <c r="W88" s="19">
        <f t="shared" si="36"/>
        <v>0</v>
      </c>
      <c r="X88" s="19">
        <f t="shared" si="37"/>
        <v>0</v>
      </c>
      <c r="Y88" s="19">
        <f t="shared" si="38"/>
        <v>0</v>
      </c>
      <c r="Z88" s="20" t="e">
        <f>(T88+U88+(PV(#REF!,'3.6 - Open'!K88,'3.6 - Open'!P88)*-1)+'3.6 - Open'!O88)/'3.6 - Open'!F88</f>
        <v>#REF!</v>
      </c>
      <c r="AA88" s="20" t="e">
        <f t="shared" si="39"/>
        <v>#DIV/0!</v>
      </c>
      <c r="AB88" s="21">
        <f t="shared" si="40"/>
        <v>0</v>
      </c>
      <c r="AC88" s="20">
        <f t="shared" si="41"/>
        <v>0</v>
      </c>
      <c r="AD88" s="20">
        <f t="shared" si="42"/>
        <v>0</v>
      </c>
      <c r="AE88" s="20">
        <f t="shared" si="43"/>
        <v>0</v>
      </c>
      <c r="AF88" s="19">
        <f t="shared" si="44"/>
        <v>0</v>
      </c>
      <c r="AG88" s="19">
        <f t="shared" si="45"/>
        <v>0</v>
      </c>
      <c r="AH88" s="19">
        <f t="shared" si="46"/>
        <v>0</v>
      </c>
      <c r="AI88" s="19">
        <f t="shared" si="47"/>
        <v>0</v>
      </c>
      <c r="AJ88" s="15">
        <v>0</v>
      </c>
      <c r="AK88" s="19">
        <f t="shared" si="50"/>
        <v>0</v>
      </c>
      <c r="AL88" s="19">
        <f t="shared" si="51"/>
        <v>0</v>
      </c>
      <c r="AM88" s="19">
        <f t="shared" si="48"/>
        <v>0</v>
      </c>
      <c r="AN88" s="19" t="e">
        <f t="shared" si="49"/>
        <v>#DIV/0!</v>
      </c>
      <c r="AO88" s="19" t="e">
        <f t="shared" si="52"/>
        <v>#DIV/0!</v>
      </c>
      <c r="AP88" s="18" t="e">
        <f>-PV(#REF!,'3.6 - Open'!K88,'3.6 - Open'!P88)*'3.6 - Open'!B88</f>
        <v>#REF!</v>
      </c>
      <c r="AQ88" s="19" t="e">
        <f t="shared" si="53"/>
        <v>#REF!</v>
      </c>
      <c r="AR88" s="19" t="e">
        <f t="shared" si="54"/>
        <v>#REF!</v>
      </c>
      <c r="AS88" s="18" t="e">
        <f>B88*H88*K88*#REF!</f>
        <v>#REF!</v>
      </c>
      <c r="AT88" s="19" t="e">
        <f>B88*J88*K88*#REF!</f>
        <v>#REF!</v>
      </c>
      <c r="AU88" s="6"/>
      <c r="AV88" s="6"/>
      <c r="AW88" s="6"/>
      <c r="AX88" s="6"/>
      <c r="AY88" s="6"/>
    </row>
    <row r="89" spans="1:51" x14ac:dyDescent="0.25">
      <c r="A89" s="14"/>
      <c r="B89" s="14"/>
      <c r="C89" s="15"/>
      <c r="D89" s="14"/>
      <c r="E89" s="14" t="s">
        <v>24</v>
      </c>
      <c r="F89" s="15"/>
      <c r="G89" s="15"/>
      <c r="H89" s="14"/>
      <c r="I89" s="15"/>
      <c r="J89" s="14"/>
      <c r="K89" s="14"/>
      <c r="L89" s="15"/>
      <c r="M89" s="15"/>
      <c r="N89" s="15"/>
      <c r="O89" s="15"/>
      <c r="P89" s="15"/>
      <c r="Q89" s="15"/>
      <c r="R89" s="15"/>
      <c r="S89" s="15"/>
      <c r="T89" s="18">
        <f>IF(D89="Res Space Heat",VLOOKUP(K89,#REF!,4)*H89,IF(D89="Res AC",VLOOKUP(K89,#REF!,6)*H89,IF(D89="Res Lighting",VLOOKUP(K89,#REF!,8)*H89,IF(D89="Res Refrigeration",VLOOKUP(K89,#REF!,10)*H89,IF(D89="Res Water Heating",VLOOKUP(K89,#REF!,12)*H89,IF(D89="Res Dishwasher",VLOOKUP(K89,#REF!,14)*H89,IF(D89="Res Washer Dryer",VLOOKUP(K89,#REF!,16)*H89,IF(D89="Res Misc",VLOOKUP(K89,#REF!,18)*H89,IF(D89="Res Furnace Fan",VLOOKUP(K89,#REF!,20)*H89,IF(D89="NonRes Compressed Air",VLOOKUP(K89,#REF!,22)*H89,IF(D89="NonRes Cooking",VLOOKUP(K89,#REF!,24)*H89,IF(D89="NonRes Space Cooling",VLOOKUP(K89,#REF!,26)*H89,IF(D89="NonRes Exterior Lighting",VLOOKUP(K89,#REF!,28)*H89,IF(D89="NonRes Space Heating",VLOOKUP(K89,#REF!,30)*H89,IF(D89="NonRes Water Heating",VLOOKUP(K89,#REF!,32)*H89,IF(D89="NonRes Interior Lighting",VLOOKUP(K89,#REF!,34)*H89,IF(D89="NonRes Misc",VLOOKUP(K89,#REF!,36)*H89,IF(D89="NonRes Motors",VLOOKUP(K89,#REF!,38)*H89,IF(D89="NonRes Office Equipment",VLOOKUP(K89,#REF!,40)*H89,IF(D89="NonRes Process",VLOOKUP(K89,#REF!,42)*H89,IF(D89="NonRes Refrigeration",VLOOKUP(K89,#REF!,44)*H89,IF(D89="NonRes Ventilation",VLOOKUP(K89,#REF!,46)*H89,0))))))))))))))))))))))</f>
        <v>0</v>
      </c>
      <c r="U89" s="18">
        <f>IF(E89="Annual",VLOOKUP(K89,#REF!,4)*'3.6 - Open'!J89,IF(E89="Winter",VLOOKUP('3.6 - Open'!K89,#REF!,5)*'3.6 - Open'!J89,IF(E89="NA",0,0)))</f>
        <v>0</v>
      </c>
      <c r="V89" s="19">
        <f t="shared" si="35"/>
        <v>0</v>
      </c>
      <c r="W89" s="19">
        <f t="shared" si="36"/>
        <v>0</v>
      </c>
      <c r="X89" s="19">
        <f t="shared" si="37"/>
        <v>0</v>
      </c>
      <c r="Y89" s="19">
        <f t="shared" si="38"/>
        <v>0</v>
      </c>
      <c r="Z89" s="20" t="e">
        <f>(T89+U89+(PV(#REF!,'3.6 - Open'!K89,'3.6 - Open'!P89)*-1)+'3.6 - Open'!O89)/'3.6 - Open'!F89</f>
        <v>#REF!</v>
      </c>
      <c r="AA89" s="20" t="e">
        <f t="shared" si="39"/>
        <v>#DIV/0!</v>
      </c>
      <c r="AB89" s="21">
        <f t="shared" si="40"/>
        <v>0</v>
      </c>
      <c r="AC89" s="20">
        <f t="shared" si="41"/>
        <v>0</v>
      </c>
      <c r="AD89" s="20">
        <f t="shared" si="42"/>
        <v>0</v>
      </c>
      <c r="AE89" s="20">
        <f t="shared" si="43"/>
        <v>0</v>
      </c>
      <c r="AF89" s="19">
        <f t="shared" si="44"/>
        <v>0</v>
      </c>
      <c r="AG89" s="19">
        <f t="shared" si="45"/>
        <v>0</v>
      </c>
      <c r="AH89" s="19">
        <f t="shared" si="46"/>
        <v>0</v>
      </c>
      <c r="AI89" s="19">
        <f t="shared" si="47"/>
        <v>0</v>
      </c>
      <c r="AJ89" s="15">
        <v>0</v>
      </c>
      <c r="AK89" s="19">
        <f t="shared" si="50"/>
        <v>0</v>
      </c>
      <c r="AL89" s="19">
        <f t="shared" si="51"/>
        <v>0</v>
      </c>
      <c r="AM89" s="19">
        <f t="shared" si="48"/>
        <v>0</v>
      </c>
      <c r="AN89" s="19" t="e">
        <f t="shared" si="49"/>
        <v>#DIV/0!</v>
      </c>
      <c r="AO89" s="19" t="e">
        <f t="shared" si="52"/>
        <v>#DIV/0!</v>
      </c>
      <c r="AP89" s="18" t="e">
        <f>-PV(#REF!,'3.6 - Open'!K89,'3.6 - Open'!P89)*'3.6 - Open'!B89</f>
        <v>#REF!</v>
      </c>
      <c r="AQ89" s="19" t="e">
        <f t="shared" si="53"/>
        <v>#REF!</v>
      </c>
      <c r="AR89" s="19" t="e">
        <f t="shared" si="54"/>
        <v>#REF!</v>
      </c>
      <c r="AS89" s="18" t="e">
        <f>B89*H89*K89*#REF!</f>
        <v>#REF!</v>
      </c>
      <c r="AT89" s="19" t="e">
        <f>B89*J89*K89*#REF!</f>
        <v>#REF!</v>
      </c>
      <c r="AU89" s="6"/>
      <c r="AV89" s="6"/>
      <c r="AW89" s="6"/>
      <c r="AX89" s="6"/>
      <c r="AY89" s="6"/>
    </row>
    <row r="90" spans="1:51" x14ac:dyDescent="0.25">
      <c r="A90" s="14"/>
      <c r="B90" s="14"/>
      <c r="C90" s="15"/>
      <c r="D90" s="14"/>
      <c r="E90" s="14" t="s">
        <v>24</v>
      </c>
      <c r="F90" s="15"/>
      <c r="G90" s="15"/>
      <c r="H90" s="14"/>
      <c r="I90" s="15"/>
      <c r="J90" s="14"/>
      <c r="K90" s="14"/>
      <c r="L90" s="15"/>
      <c r="M90" s="15"/>
      <c r="N90" s="15"/>
      <c r="O90" s="15"/>
      <c r="P90" s="15"/>
      <c r="Q90" s="15"/>
      <c r="R90" s="15"/>
      <c r="S90" s="15"/>
      <c r="T90" s="18">
        <f>IF(D90="Res Space Heat",VLOOKUP(K90,#REF!,4)*H90,IF(D90="Res AC",VLOOKUP(K90,#REF!,6)*H90,IF(D90="Res Lighting",VLOOKUP(K90,#REF!,8)*H90,IF(D90="Res Refrigeration",VLOOKUP(K90,#REF!,10)*H90,IF(D90="Res Water Heating",VLOOKUP(K90,#REF!,12)*H90,IF(D90="Res Dishwasher",VLOOKUP(K90,#REF!,14)*H90,IF(D90="Res Washer Dryer",VLOOKUP(K90,#REF!,16)*H90,IF(D90="Res Misc",VLOOKUP(K90,#REF!,18)*H90,IF(D90="Res Furnace Fan",VLOOKUP(K90,#REF!,20)*H90,IF(D90="NonRes Compressed Air",VLOOKUP(K90,#REF!,22)*H90,IF(D90="NonRes Cooking",VLOOKUP(K90,#REF!,24)*H90,IF(D90="NonRes Space Cooling",VLOOKUP(K90,#REF!,26)*H90,IF(D90="NonRes Exterior Lighting",VLOOKUP(K90,#REF!,28)*H90,IF(D90="NonRes Space Heating",VLOOKUP(K90,#REF!,30)*H90,IF(D90="NonRes Water Heating",VLOOKUP(K90,#REF!,32)*H90,IF(D90="NonRes Interior Lighting",VLOOKUP(K90,#REF!,34)*H90,IF(D90="NonRes Misc",VLOOKUP(K90,#REF!,36)*H90,IF(D90="NonRes Motors",VLOOKUP(K90,#REF!,38)*H90,IF(D90="NonRes Office Equipment",VLOOKUP(K90,#REF!,40)*H90,IF(D90="NonRes Process",VLOOKUP(K90,#REF!,42)*H90,IF(D90="NonRes Refrigeration",VLOOKUP(K90,#REF!,44)*H90,IF(D90="NonRes Ventilation",VLOOKUP(K90,#REF!,46)*H90,0))))))))))))))))))))))</f>
        <v>0</v>
      </c>
      <c r="U90" s="18">
        <f>IF(E90="Annual",VLOOKUP(K90,#REF!,4)*'3.6 - Open'!J90,IF(E90="Winter",VLOOKUP('3.6 - Open'!K90,#REF!,5)*'3.6 - Open'!J90,IF(E90="NA",0,0)))</f>
        <v>0</v>
      </c>
      <c r="V90" s="19">
        <f t="shared" si="35"/>
        <v>0</v>
      </c>
      <c r="W90" s="19">
        <f t="shared" si="36"/>
        <v>0</v>
      </c>
      <c r="X90" s="19">
        <f t="shared" si="37"/>
        <v>0</v>
      </c>
      <c r="Y90" s="19">
        <f t="shared" si="38"/>
        <v>0</v>
      </c>
      <c r="Z90" s="20" t="e">
        <f>(T90+U90+(PV(#REF!,'3.6 - Open'!K90,'3.6 - Open'!P90)*-1)+'3.6 - Open'!O90)/'3.6 - Open'!F90</f>
        <v>#REF!</v>
      </c>
      <c r="AA90" s="20" t="e">
        <f t="shared" si="39"/>
        <v>#DIV/0!</v>
      </c>
      <c r="AB90" s="21">
        <f t="shared" si="40"/>
        <v>0</v>
      </c>
      <c r="AC90" s="20">
        <f t="shared" si="41"/>
        <v>0</v>
      </c>
      <c r="AD90" s="20">
        <f t="shared" si="42"/>
        <v>0</v>
      </c>
      <c r="AE90" s="20">
        <f t="shared" si="43"/>
        <v>0</v>
      </c>
      <c r="AF90" s="19">
        <f t="shared" si="44"/>
        <v>0</v>
      </c>
      <c r="AG90" s="19">
        <f t="shared" si="45"/>
        <v>0</v>
      </c>
      <c r="AH90" s="19">
        <f t="shared" si="46"/>
        <v>0</v>
      </c>
      <c r="AI90" s="19">
        <f t="shared" si="47"/>
        <v>0</v>
      </c>
      <c r="AJ90" s="15">
        <v>0</v>
      </c>
      <c r="AK90" s="19">
        <f t="shared" si="50"/>
        <v>0</v>
      </c>
      <c r="AL90" s="19">
        <f t="shared" si="51"/>
        <v>0</v>
      </c>
      <c r="AM90" s="19">
        <f t="shared" si="48"/>
        <v>0</v>
      </c>
      <c r="AN90" s="19" t="e">
        <f t="shared" si="49"/>
        <v>#DIV/0!</v>
      </c>
      <c r="AO90" s="19" t="e">
        <f t="shared" si="52"/>
        <v>#DIV/0!</v>
      </c>
      <c r="AP90" s="18" t="e">
        <f>-PV(#REF!,'3.6 - Open'!K90,'3.6 - Open'!P90)*'3.6 - Open'!B90</f>
        <v>#REF!</v>
      </c>
      <c r="AQ90" s="19" t="e">
        <f t="shared" si="53"/>
        <v>#REF!</v>
      </c>
      <c r="AR90" s="19" t="e">
        <f t="shared" si="54"/>
        <v>#REF!</v>
      </c>
      <c r="AS90" s="18" t="e">
        <f>B90*H90*K90*#REF!</f>
        <v>#REF!</v>
      </c>
      <c r="AT90" s="19" t="e">
        <f>B90*J90*K90*#REF!</f>
        <v>#REF!</v>
      </c>
      <c r="AU90" s="6"/>
      <c r="AV90" s="6"/>
      <c r="AW90" s="6"/>
      <c r="AX90" s="6"/>
      <c r="AY90" s="6"/>
    </row>
    <row r="91" spans="1:51" x14ac:dyDescent="0.25">
      <c r="A91" s="14"/>
      <c r="B91" s="14"/>
      <c r="C91" s="15"/>
      <c r="D91" s="14"/>
      <c r="E91" s="14" t="s">
        <v>24</v>
      </c>
      <c r="F91" s="15"/>
      <c r="G91" s="15"/>
      <c r="H91" s="14"/>
      <c r="I91" s="15"/>
      <c r="J91" s="14"/>
      <c r="K91" s="14"/>
      <c r="L91" s="15"/>
      <c r="M91" s="15"/>
      <c r="N91" s="15"/>
      <c r="O91" s="15"/>
      <c r="P91" s="15"/>
      <c r="Q91" s="15"/>
      <c r="R91" s="15"/>
      <c r="S91" s="15"/>
      <c r="T91" s="18">
        <f>IF(D91="Res Space Heat",VLOOKUP(K91,#REF!,4)*H91,IF(D91="Res AC",VLOOKUP(K91,#REF!,6)*H91,IF(D91="Res Lighting",VLOOKUP(K91,#REF!,8)*H91,IF(D91="Res Refrigeration",VLOOKUP(K91,#REF!,10)*H91,IF(D91="Res Water Heating",VLOOKUP(K91,#REF!,12)*H91,IF(D91="Res Dishwasher",VLOOKUP(K91,#REF!,14)*H91,IF(D91="Res Washer Dryer",VLOOKUP(K91,#REF!,16)*H91,IF(D91="Res Misc",VLOOKUP(K91,#REF!,18)*H91,IF(D91="Res Furnace Fan",VLOOKUP(K91,#REF!,20)*H91,IF(D91="NonRes Compressed Air",VLOOKUP(K91,#REF!,22)*H91,IF(D91="NonRes Cooking",VLOOKUP(K91,#REF!,24)*H91,IF(D91="NonRes Space Cooling",VLOOKUP(K91,#REF!,26)*H91,IF(D91="NonRes Exterior Lighting",VLOOKUP(K91,#REF!,28)*H91,IF(D91="NonRes Space Heating",VLOOKUP(K91,#REF!,30)*H91,IF(D91="NonRes Water Heating",VLOOKUP(K91,#REF!,32)*H91,IF(D91="NonRes Interior Lighting",VLOOKUP(K91,#REF!,34)*H91,IF(D91="NonRes Misc",VLOOKUP(K91,#REF!,36)*H91,IF(D91="NonRes Motors",VLOOKUP(K91,#REF!,38)*H91,IF(D91="NonRes Office Equipment",VLOOKUP(K91,#REF!,40)*H91,IF(D91="NonRes Process",VLOOKUP(K91,#REF!,42)*H91,IF(D91="NonRes Refrigeration",VLOOKUP(K91,#REF!,44)*H91,IF(D91="NonRes Ventilation",VLOOKUP(K91,#REF!,46)*H91,0))))))))))))))))))))))</f>
        <v>0</v>
      </c>
      <c r="U91" s="18">
        <f>IF(E91="Annual",VLOOKUP(K91,#REF!,4)*'3.6 - Open'!J91,IF(E91="Winter",VLOOKUP('3.6 - Open'!K91,#REF!,5)*'3.6 - Open'!J91,IF(E91="NA",0,0)))</f>
        <v>0</v>
      </c>
      <c r="V91" s="19">
        <f t="shared" si="35"/>
        <v>0</v>
      </c>
      <c r="W91" s="19">
        <f t="shared" si="36"/>
        <v>0</v>
      </c>
      <c r="X91" s="19">
        <f t="shared" si="37"/>
        <v>0</v>
      </c>
      <c r="Y91" s="19">
        <f t="shared" si="38"/>
        <v>0</v>
      </c>
      <c r="Z91" s="20" t="e">
        <f>(T91+U91+(PV(#REF!,'3.6 - Open'!K91,'3.6 - Open'!P91)*-1)+'3.6 - Open'!O91)/'3.6 - Open'!F91</f>
        <v>#REF!</v>
      </c>
      <c r="AA91" s="20" t="e">
        <f t="shared" si="39"/>
        <v>#DIV/0!</v>
      </c>
      <c r="AB91" s="21">
        <f t="shared" si="40"/>
        <v>0</v>
      </c>
      <c r="AC91" s="20">
        <f t="shared" si="41"/>
        <v>0</v>
      </c>
      <c r="AD91" s="20">
        <f t="shared" si="42"/>
        <v>0</v>
      </c>
      <c r="AE91" s="20">
        <f t="shared" si="43"/>
        <v>0</v>
      </c>
      <c r="AF91" s="19">
        <f t="shared" si="44"/>
        <v>0</v>
      </c>
      <c r="AG91" s="19">
        <f t="shared" si="45"/>
        <v>0</v>
      </c>
      <c r="AH91" s="19">
        <f t="shared" si="46"/>
        <v>0</v>
      </c>
      <c r="AI91" s="19">
        <f t="shared" si="47"/>
        <v>0</v>
      </c>
      <c r="AJ91" s="15">
        <v>0</v>
      </c>
      <c r="AK91" s="19">
        <f t="shared" si="50"/>
        <v>0</v>
      </c>
      <c r="AL91" s="19">
        <f t="shared" si="51"/>
        <v>0</v>
      </c>
      <c r="AM91" s="19">
        <f t="shared" si="48"/>
        <v>0</v>
      </c>
      <c r="AN91" s="19" t="e">
        <f t="shared" si="49"/>
        <v>#DIV/0!</v>
      </c>
      <c r="AO91" s="19" t="e">
        <f t="shared" si="52"/>
        <v>#DIV/0!</v>
      </c>
      <c r="AP91" s="18" t="e">
        <f>-PV(#REF!,'3.6 - Open'!K91,'3.6 - Open'!P91)*'3.6 - Open'!B91</f>
        <v>#REF!</v>
      </c>
      <c r="AQ91" s="19" t="e">
        <f t="shared" si="53"/>
        <v>#REF!</v>
      </c>
      <c r="AR91" s="19" t="e">
        <f t="shared" si="54"/>
        <v>#REF!</v>
      </c>
      <c r="AS91" s="18" t="e">
        <f>B91*H91*K91*#REF!</f>
        <v>#REF!</v>
      </c>
      <c r="AT91" s="19" t="e">
        <f>B91*J91*K91*#REF!</f>
        <v>#REF!</v>
      </c>
      <c r="AU91" s="6"/>
      <c r="AV91" s="6"/>
      <c r="AW91" s="6"/>
      <c r="AX91" s="6"/>
      <c r="AY91" s="6"/>
    </row>
    <row r="92" spans="1:51" x14ac:dyDescent="0.25">
      <c r="A92" s="14"/>
      <c r="B92" s="14"/>
      <c r="C92" s="15"/>
      <c r="D92" s="14"/>
      <c r="E92" s="14" t="s">
        <v>24</v>
      </c>
      <c r="F92" s="15"/>
      <c r="G92" s="15"/>
      <c r="H92" s="14"/>
      <c r="I92" s="15"/>
      <c r="J92" s="14"/>
      <c r="K92" s="14"/>
      <c r="L92" s="15"/>
      <c r="M92" s="15"/>
      <c r="N92" s="15"/>
      <c r="O92" s="15"/>
      <c r="P92" s="15"/>
      <c r="Q92" s="15"/>
      <c r="R92" s="15"/>
      <c r="S92" s="15"/>
      <c r="T92" s="18">
        <f>IF(D92="Res Space Heat",VLOOKUP(K92,#REF!,4)*H92,IF(D92="Res AC",VLOOKUP(K92,#REF!,6)*H92,IF(D92="Res Lighting",VLOOKUP(K92,#REF!,8)*H92,IF(D92="Res Refrigeration",VLOOKUP(K92,#REF!,10)*H92,IF(D92="Res Water Heating",VLOOKUP(K92,#REF!,12)*H92,IF(D92="Res Dishwasher",VLOOKUP(K92,#REF!,14)*H92,IF(D92="Res Washer Dryer",VLOOKUP(K92,#REF!,16)*H92,IF(D92="Res Misc",VLOOKUP(K92,#REF!,18)*H92,IF(D92="Res Furnace Fan",VLOOKUP(K92,#REF!,20)*H92,IF(D92="NonRes Compressed Air",VLOOKUP(K92,#REF!,22)*H92,IF(D92="NonRes Cooking",VLOOKUP(K92,#REF!,24)*H92,IF(D92="NonRes Space Cooling",VLOOKUP(K92,#REF!,26)*H92,IF(D92="NonRes Exterior Lighting",VLOOKUP(K92,#REF!,28)*H92,IF(D92="NonRes Space Heating",VLOOKUP(K92,#REF!,30)*H92,IF(D92="NonRes Water Heating",VLOOKUP(K92,#REF!,32)*H92,IF(D92="NonRes Interior Lighting",VLOOKUP(K92,#REF!,34)*H92,IF(D92="NonRes Misc",VLOOKUP(K92,#REF!,36)*H92,IF(D92="NonRes Motors",VLOOKUP(K92,#REF!,38)*H92,IF(D92="NonRes Office Equipment",VLOOKUP(K92,#REF!,40)*H92,IF(D92="NonRes Process",VLOOKUP(K92,#REF!,42)*H92,IF(D92="NonRes Refrigeration",VLOOKUP(K92,#REF!,44)*H92,IF(D92="NonRes Ventilation",VLOOKUP(K92,#REF!,46)*H92,0))))))))))))))))))))))</f>
        <v>0</v>
      </c>
      <c r="U92" s="18">
        <f>IF(E92="Annual",VLOOKUP(K92,#REF!,4)*'3.6 - Open'!J92,IF(E92="Winter",VLOOKUP('3.6 - Open'!K92,#REF!,5)*'3.6 - Open'!J92,IF(E92="NA",0,0)))</f>
        <v>0</v>
      </c>
      <c r="V92" s="19">
        <f t="shared" si="35"/>
        <v>0</v>
      </c>
      <c r="W92" s="19">
        <f t="shared" si="36"/>
        <v>0</v>
      </c>
      <c r="X92" s="19">
        <f t="shared" si="37"/>
        <v>0</v>
      </c>
      <c r="Y92" s="19">
        <f t="shared" si="38"/>
        <v>0</v>
      </c>
      <c r="Z92" s="20" t="e">
        <f>(T92+U92+(PV(#REF!,'3.6 - Open'!K92,'3.6 - Open'!P92)*-1)+'3.6 - Open'!O92)/'3.6 - Open'!F92</f>
        <v>#REF!</v>
      </c>
      <c r="AA92" s="20" t="e">
        <f t="shared" si="39"/>
        <v>#DIV/0!</v>
      </c>
      <c r="AB92" s="21">
        <f t="shared" si="40"/>
        <v>0</v>
      </c>
      <c r="AC92" s="20">
        <f t="shared" si="41"/>
        <v>0</v>
      </c>
      <c r="AD92" s="20">
        <f t="shared" si="42"/>
        <v>0</v>
      </c>
      <c r="AE92" s="20">
        <f t="shared" si="43"/>
        <v>0</v>
      </c>
      <c r="AF92" s="19">
        <f t="shared" si="44"/>
        <v>0</v>
      </c>
      <c r="AG92" s="19">
        <f t="shared" si="45"/>
        <v>0</v>
      </c>
      <c r="AH92" s="19">
        <f t="shared" si="46"/>
        <v>0</v>
      </c>
      <c r="AI92" s="19">
        <f t="shared" si="47"/>
        <v>0</v>
      </c>
      <c r="AJ92" s="15">
        <v>0</v>
      </c>
      <c r="AK92" s="19">
        <f t="shared" si="50"/>
        <v>0</v>
      </c>
      <c r="AL92" s="19">
        <f t="shared" si="51"/>
        <v>0</v>
      </c>
      <c r="AM92" s="19">
        <f t="shared" si="48"/>
        <v>0</v>
      </c>
      <c r="AN92" s="19" t="e">
        <f t="shared" si="49"/>
        <v>#DIV/0!</v>
      </c>
      <c r="AO92" s="19" t="e">
        <f t="shared" si="52"/>
        <v>#DIV/0!</v>
      </c>
      <c r="AP92" s="18" t="e">
        <f>-PV(#REF!,'3.6 - Open'!K92,'3.6 - Open'!P92)*'3.6 - Open'!B92</f>
        <v>#REF!</v>
      </c>
      <c r="AQ92" s="19" t="e">
        <f t="shared" si="53"/>
        <v>#REF!</v>
      </c>
      <c r="AR92" s="19" t="e">
        <f t="shared" si="54"/>
        <v>#REF!</v>
      </c>
      <c r="AS92" s="18" t="e">
        <f>B92*H92*K92*#REF!</f>
        <v>#REF!</v>
      </c>
      <c r="AT92" s="19" t="e">
        <f>B92*J92*K92*#REF!</f>
        <v>#REF!</v>
      </c>
      <c r="AU92" s="6"/>
      <c r="AV92" s="6"/>
      <c r="AW92" s="6"/>
      <c r="AX92" s="6"/>
      <c r="AY92" s="6"/>
    </row>
    <row r="93" spans="1:51" x14ac:dyDescent="0.25">
      <c r="A93" s="14"/>
      <c r="B93" s="14"/>
      <c r="C93" s="15"/>
      <c r="D93" s="14"/>
      <c r="E93" s="14" t="s">
        <v>24</v>
      </c>
      <c r="F93" s="15"/>
      <c r="G93" s="15"/>
      <c r="H93" s="14"/>
      <c r="I93" s="15"/>
      <c r="J93" s="14"/>
      <c r="K93" s="14"/>
      <c r="L93" s="15"/>
      <c r="M93" s="15"/>
      <c r="N93" s="15"/>
      <c r="O93" s="15"/>
      <c r="P93" s="15"/>
      <c r="Q93" s="15"/>
      <c r="R93" s="15"/>
      <c r="S93" s="15"/>
      <c r="T93" s="18">
        <f>IF(D93="Res Space Heat",VLOOKUP(K93,#REF!,4)*H93,IF(D93="Res AC",VLOOKUP(K93,#REF!,6)*H93,IF(D93="Res Lighting",VLOOKUP(K93,#REF!,8)*H93,IF(D93="Res Refrigeration",VLOOKUP(K93,#REF!,10)*H93,IF(D93="Res Water Heating",VLOOKUP(K93,#REF!,12)*H93,IF(D93="Res Dishwasher",VLOOKUP(K93,#REF!,14)*H93,IF(D93="Res Washer Dryer",VLOOKUP(K93,#REF!,16)*H93,IF(D93="Res Misc",VLOOKUP(K93,#REF!,18)*H93,IF(D93="Res Furnace Fan",VLOOKUP(K93,#REF!,20)*H93,IF(D93="NonRes Compressed Air",VLOOKUP(K93,#REF!,22)*H93,IF(D93="NonRes Cooking",VLOOKUP(K93,#REF!,24)*H93,IF(D93="NonRes Space Cooling",VLOOKUP(K93,#REF!,26)*H93,IF(D93="NonRes Exterior Lighting",VLOOKUP(K93,#REF!,28)*H93,IF(D93="NonRes Space Heating",VLOOKUP(K93,#REF!,30)*H93,IF(D93="NonRes Water Heating",VLOOKUP(K93,#REF!,32)*H93,IF(D93="NonRes Interior Lighting",VLOOKUP(K93,#REF!,34)*H93,IF(D93="NonRes Misc",VLOOKUP(K93,#REF!,36)*H93,IF(D93="NonRes Motors",VLOOKUP(K93,#REF!,38)*H93,IF(D93="NonRes Office Equipment",VLOOKUP(K93,#REF!,40)*H93,IF(D93="NonRes Process",VLOOKUP(K93,#REF!,42)*H93,IF(D93="NonRes Refrigeration",VLOOKUP(K93,#REF!,44)*H93,IF(D93="NonRes Ventilation",VLOOKUP(K93,#REF!,46)*H93,0))))))))))))))))))))))</f>
        <v>0</v>
      </c>
      <c r="U93" s="18">
        <f>IF(E93="Annual",VLOOKUP(K93,#REF!,4)*'3.6 - Open'!J93,IF(E93="Winter",VLOOKUP('3.6 - Open'!K93,#REF!,5)*'3.6 - Open'!J93,IF(E93="NA",0,0)))</f>
        <v>0</v>
      </c>
      <c r="V93" s="19">
        <f t="shared" si="35"/>
        <v>0</v>
      </c>
      <c r="W93" s="19">
        <f t="shared" si="36"/>
        <v>0</v>
      </c>
      <c r="X93" s="19">
        <f t="shared" si="37"/>
        <v>0</v>
      </c>
      <c r="Y93" s="19">
        <f t="shared" si="38"/>
        <v>0</v>
      </c>
      <c r="Z93" s="20" t="e">
        <f>(T93+U93+(PV(#REF!,'3.6 - Open'!K93,'3.6 - Open'!P93)*-1)+'3.6 - Open'!O93)/'3.6 - Open'!F93</f>
        <v>#REF!</v>
      </c>
      <c r="AA93" s="20" t="e">
        <f t="shared" si="39"/>
        <v>#DIV/0!</v>
      </c>
      <c r="AB93" s="21">
        <f t="shared" si="40"/>
        <v>0</v>
      </c>
      <c r="AC93" s="20">
        <f t="shared" si="41"/>
        <v>0</v>
      </c>
      <c r="AD93" s="20">
        <f t="shared" si="42"/>
        <v>0</v>
      </c>
      <c r="AE93" s="20">
        <f t="shared" si="43"/>
        <v>0</v>
      </c>
      <c r="AF93" s="19">
        <f t="shared" si="44"/>
        <v>0</v>
      </c>
      <c r="AG93" s="19">
        <f t="shared" si="45"/>
        <v>0</v>
      </c>
      <c r="AH93" s="19">
        <f t="shared" si="46"/>
        <v>0</v>
      </c>
      <c r="AI93" s="19">
        <f t="shared" si="47"/>
        <v>0</v>
      </c>
      <c r="AJ93" s="15">
        <v>0</v>
      </c>
      <c r="AK93" s="19">
        <f t="shared" si="50"/>
        <v>0</v>
      </c>
      <c r="AL93" s="19">
        <f t="shared" si="51"/>
        <v>0</v>
      </c>
      <c r="AM93" s="19">
        <f t="shared" si="48"/>
        <v>0</v>
      </c>
      <c r="AN93" s="19" t="e">
        <f t="shared" si="49"/>
        <v>#DIV/0!</v>
      </c>
      <c r="AO93" s="19" t="e">
        <f t="shared" si="52"/>
        <v>#DIV/0!</v>
      </c>
      <c r="AP93" s="18" t="e">
        <f>-PV(#REF!,'3.6 - Open'!K93,'3.6 - Open'!P93)*'3.6 - Open'!B93</f>
        <v>#REF!</v>
      </c>
      <c r="AQ93" s="19" t="e">
        <f t="shared" si="53"/>
        <v>#REF!</v>
      </c>
      <c r="AR93" s="19" t="e">
        <f t="shared" si="54"/>
        <v>#REF!</v>
      </c>
      <c r="AS93" s="18" t="e">
        <f>B93*H93*K93*#REF!</f>
        <v>#REF!</v>
      </c>
      <c r="AT93" s="19" t="e">
        <f>B93*J93*K93*#REF!</f>
        <v>#REF!</v>
      </c>
      <c r="AU93" s="6"/>
      <c r="AV93" s="6"/>
      <c r="AW93" s="6"/>
      <c r="AX93" s="6"/>
      <c r="AY93" s="6"/>
    </row>
    <row r="94" spans="1:51" x14ac:dyDescent="0.25">
      <c r="A94" s="14"/>
      <c r="B94" s="14"/>
      <c r="C94" s="15"/>
      <c r="D94" s="14"/>
      <c r="E94" s="14" t="s">
        <v>24</v>
      </c>
      <c r="F94" s="15"/>
      <c r="G94" s="15"/>
      <c r="H94" s="14"/>
      <c r="I94" s="15"/>
      <c r="J94" s="14"/>
      <c r="K94" s="14"/>
      <c r="L94" s="15"/>
      <c r="M94" s="15"/>
      <c r="N94" s="15"/>
      <c r="O94" s="15"/>
      <c r="P94" s="15"/>
      <c r="Q94" s="15"/>
      <c r="R94" s="15"/>
      <c r="S94" s="15"/>
      <c r="T94" s="18">
        <f>IF(D94="Res Space Heat",VLOOKUP(K94,#REF!,4)*H94,IF(D94="Res AC",VLOOKUP(K94,#REF!,6)*H94,IF(D94="Res Lighting",VLOOKUP(K94,#REF!,8)*H94,IF(D94="Res Refrigeration",VLOOKUP(K94,#REF!,10)*H94,IF(D94="Res Water Heating",VLOOKUP(K94,#REF!,12)*H94,IF(D94="Res Dishwasher",VLOOKUP(K94,#REF!,14)*H94,IF(D94="Res Washer Dryer",VLOOKUP(K94,#REF!,16)*H94,IF(D94="Res Misc",VLOOKUP(K94,#REF!,18)*H94,IF(D94="Res Furnace Fan",VLOOKUP(K94,#REF!,20)*H94,IF(D94="NonRes Compressed Air",VLOOKUP(K94,#REF!,22)*H94,IF(D94="NonRes Cooking",VLOOKUP(K94,#REF!,24)*H94,IF(D94="NonRes Space Cooling",VLOOKUP(K94,#REF!,26)*H94,IF(D94="NonRes Exterior Lighting",VLOOKUP(K94,#REF!,28)*H94,IF(D94="NonRes Space Heating",VLOOKUP(K94,#REF!,30)*H94,IF(D94="NonRes Water Heating",VLOOKUP(K94,#REF!,32)*H94,IF(D94="NonRes Interior Lighting",VLOOKUP(K94,#REF!,34)*H94,IF(D94="NonRes Misc",VLOOKUP(K94,#REF!,36)*H94,IF(D94="NonRes Motors",VLOOKUP(K94,#REF!,38)*H94,IF(D94="NonRes Office Equipment",VLOOKUP(K94,#REF!,40)*H94,IF(D94="NonRes Process",VLOOKUP(K94,#REF!,42)*H94,IF(D94="NonRes Refrigeration",VLOOKUP(K94,#REF!,44)*H94,IF(D94="NonRes Ventilation",VLOOKUP(K94,#REF!,46)*H94,0))))))))))))))))))))))</f>
        <v>0</v>
      </c>
      <c r="U94" s="18">
        <f>IF(E94="Annual",VLOOKUP(K94,#REF!,4)*'3.6 - Open'!J94,IF(E94="Winter",VLOOKUP('3.6 - Open'!K94,#REF!,5)*'3.6 - Open'!J94,IF(E94="NA",0,0)))</f>
        <v>0</v>
      </c>
      <c r="V94" s="19">
        <f t="shared" si="35"/>
        <v>0</v>
      </c>
      <c r="W94" s="19">
        <f t="shared" si="36"/>
        <v>0</v>
      </c>
      <c r="X94" s="19">
        <f t="shared" si="37"/>
        <v>0</v>
      </c>
      <c r="Y94" s="19">
        <f t="shared" si="38"/>
        <v>0</v>
      </c>
      <c r="Z94" s="20" t="e">
        <f>(T94+U94+(PV(#REF!,'3.6 - Open'!K94,'3.6 - Open'!P94)*-1)+'3.6 - Open'!O94)/'3.6 - Open'!F94</f>
        <v>#REF!</v>
      </c>
      <c r="AA94" s="20" t="e">
        <f t="shared" si="39"/>
        <v>#DIV/0!</v>
      </c>
      <c r="AB94" s="21">
        <f t="shared" si="40"/>
        <v>0</v>
      </c>
      <c r="AC94" s="20">
        <f t="shared" si="41"/>
        <v>0</v>
      </c>
      <c r="AD94" s="20">
        <f t="shared" si="42"/>
        <v>0</v>
      </c>
      <c r="AE94" s="20">
        <f t="shared" si="43"/>
        <v>0</v>
      </c>
      <c r="AF94" s="19">
        <f t="shared" si="44"/>
        <v>0</v>
      </c>
      <c r="AG94" s="19">
        <f t="shared" si="45"/>
        <v>0</v>
      </c>
      <c r="AH94" s="19">
        <f t="shared" si="46"/>
        <v>0</v>
      </c>
      <c r="AI94" s="19">
        <f t="shared" si="47"/>
        <v>0</v>
      </c>
      <c r="AJ94" s="15">
        <v>0</v>
      </c>
      <c r="AK94" s="19">
        <f t="shared" si="50"/>
        <v>0</v>
      </c>
      <c r="AL94" s="19">
        <f t="shared" si="51"/>
        <v>0</v>
      </c>
      <c r="AM94" s="19">
        <f t="shared" si="48"/>
        <v>0</v>
      </c>
      <c r="AN94" s="19" t="e">
        <f t="shared" si="49"/>
        <v>#DIV/0!</v>
      </c>
      <c r="AO94" s="19" t="e">
        <f t="shared" si="52"/>
        <v>#DIV/0!</v>
      </c>
      <c r="AP94" s="18" t="e">
        <f>-PV(#REF!,'3.6 - Open'!K94,'3.6 - Open'!P94)*'3.6 - Open'!B94</f>
        <v>#REF!</v>
      </c>
      <c r="AQ94" s="19" t="e">
        <f t="shared" si="53"/>
        <v>#REF!</v>
      </c>
      <c r="AR94" s="19" t="e">
        <f t="shared" si="54"/>
        <v>#REF!</v>
      </c>
      <c r="AS94" s="18" t="e">
        <f>B94*H94*K94*#REF!</f>
        <v>#REF!</v>
      </c>
      <c r="AT94" s="19" t="e">
        <f>B94*J94*K94*#REF!</f>
        <v>#REF!</v>
      </c>
      <c r="AU94" s="6"/>
      <c r="AV94" s="6"/>
      <c r="AW94" s="6"/>
      <c r="AX94" s="6"/>
      <c r="AY94" s="6"/>
    </row>
    <row r="95" spans="1:51" x14ac:dyDescent="0.25">
      <c r="A95" s="14"/>
      <c r="B95" s="14"/>
      <c r="C95" s="15"/>
      <c r="D95" s="14"/>
      <c r="E95" s="14" t="s">
        <v>24</v>
      </c>
      <c r="F95" s="15"/>
      <c r="G95" s="15"/>
      <c r="H95" s="14"/>
      <c r="I95" s="15"/>
      <c r="J95" s="14"/>
      <c r="K95" s="14"/>
      <c r="L95" s="15"/>
      <c r="M95" s="15"/>
      <c r="N95" s="15"/>
      <c r="O95" s="15"/>
      <c r="P95" s="15"/>
      <c r="Q95" s="15"/>
      <c r="R95" s="15"/>
      <c r="S95" s="15"/>
      <c r="T95" s="18">
        <f>IF(D95="Res Space Heat",VLOOKUP(K95,#REF!,4)*H95,IF(D95="Res AC",VLOOKUP(K95,#REF!,6)*H95,IF(D95="Res Lighting",VLOOKUP(K95,#REF!,8)*H95,IF(D95="Res Refrigeration",VLOOKUP(K95,#REF!,10)*H95,IF(D95="Res Water Heating",VLOOKUP(K95,#REF!,12)*H95,IF(D95="Res Dishwasher",VLOOKUP(K95,#REF!,14)*H95,IF(D95="Res Washer Dryer",VLOOKUP(K95,#REF!,16)*H95,IF(D95="Res Misc",VLOOKUP(K95,#REF!,18)*H95,IF(D95="Res Furnace Fan",VLOOKUP(K95,#REF!,20)*H95,IF(D95="NonRes Compressed Air",VLOOKUP(K95,#REF!,22)*H95,IF(D95="NonRes Cooking",VLOOKUP(K95,#REF!,24)*H95,IF(D95="NonRes Space Cooling",VLOOKUP(K95,#REF!,26)*H95,IF(D95="NonRes Exterior Lighting",VLOOKUP(K95,#REF!,28)*H95,IF(D95="NonRes Space Heating",VLOOKUP(K95,#REF!,30)*H95,IF(D95="NonRes Water Heating",VLOOKUP(K95,#REF!,32)*H95,IF(D95="NonRes Interior Lighting",VLOOKUP(K95,#REF!,34)*H95,IF(D95="NonRes Misc",VLOOKUP(K95,#REF!,36)*H95,IF(D95="NonRes Motors",VLOOKUP(K95,#REF!,38)*H95,IF(D95="NonRes Office Equipment",VLOOKUP(K95,#REF!,40)*H95,IF(D95="NonRes Process",VLOOKUP(K95,#REF!,42)*H95,IF(D95="NonRes Refrigeration",VLOOKUP(K95,#REF!,44)*H95,IF(D95="NonRes Ventilation",VLOOKUP(K95,#REF!,46)*H95,0))))))))))))))))))))))</f>
        <v>0</v>
      </c>
      <c r="U95" s="18">
        <f>IF(E95="Annual",VLOOKUP(K95,#REF!,4)*'3.6 - Open'!J95,IF(E95="Winter",VLOOKUP('3.6 - Open'!K95,#REF!,5)*'3.6 - Open'!J95,IF(E95="NA",0,0)))</f>
        <v>0</v>
      </c>
      <c r="V95" s="19">
        <f t="shared" si="35"/>
        <v>0</v>
      </c>
      <c r="W95" s="19">
        <f t="shared" si="36"/>
        <v>0</v>
      </c>
      <c r="X95" s="19">
        <f t="shared" si="37"/>
        <v>0</v>
      </c>
      <c r="Y95" s="19">
        <f t="shared" si="38"/>
        <v>0</v>
      </c>
      <c r="Z95" s="20" t="e">
        <f>(T95+U95+(PV(#REF!,'3.6 - Open'!K95,'3.6 - Open'!P95)*-1)+'3.6 - Open'!O95)/'3.6 - Open'!F95</f>
        <v>#REF!</v>
      </c>
      <c r="AA95" s="20" t="e">
        <f t="shared" si="39"/>
        <v>#DIV/0!</v>
      </c>
      <c r="AB95" s="21">
        <f t="shared" si="40"/>
        <v>0</v>
      </c>
      <c r="AC95" s="20">
        <f t="shared" si="41"/>
        <v>0</v>
      </c>
      <c r="AD95" s="20">
        <f t="shared" si="42"/>
        <v>0</v>
      </c>
      <c r="AE95" s="20">
        <f t="shared" si="43"/>
        <v>0</v>
      </c>
      <c r="AF95" s="19">
        <f t="shared" si="44"/>
        <v>0</v>
      </c>
      <c r="AG95" s="19">
        <f t="shared" si="45"/>
        <v>0</v>
      </c>
      <c r="AH95" s="19">
        <f t="shared" si="46"/>
        <v>0</v>
      </c>
      <c r="AI95" s="19">
        <f t="shared" si="47"/>
        <v>0</v>
      </c>
      <c r="AJ95" s="15">
        <v>0</v>
      </c>
      <c r="AK95" s="19">
        <f t="shared" si="50"/>
        <v>0</v>
      </c>
      <c r="AL95" s="19">
        <f t="shared" si="51"/>
        <v>0</v>
      </c>
      <c r="AM95" s="19">
        <f t="shared" si="48"/>
        <v>0</v>
      </c>
      <c r="AN95" s="19" t="e">
        <f t="shared" si="49"/>
        <v>#DIV/0!</v>
      </c>
      <c r="AO95" s="19" t="e">
        <f t="shared" si="52"/>
        <v>#DIV/0!</v>
      </c>
      <c r="AP95" s="18" t="e">
        <f>-PV(#REF!,'3.6 - Open'!K95,'3.6 - Open'!P95)*'3.6 - Open'!B95</f>
        <v>#REF!</v>
      </c>
      <c r="AQ95" s="19" t="e">
        <f t="shared" si="53"/>
        <v>#REF!</v>
      </c>
      <c r="AR95" s="19" t="e">
        <f t="shared" si="54"/>
        <v>#REF!</v>
      </c>
      <c r="AS95" s="18" t="e">
        <f>B95*H95*K95*#REF!</f>
        <v>#REF!</v>
      </c>
      <c r="AT95" s="19" t="e">
        <f>B95*J95*K95*#REF!</f>
        <v>#REF!</v>
      </c>
      <c r="AU95" s="6"/>
      <c r="AV95" s="6"/>
      <c r="AW95" s="6"/>
      <c r="AX95" s="6"/>
      <c r="AY95" s="6"/>
    </row>
    <row r="96" spans="1:51" x14ac:dyDescent="0.25">
      <c r="A96" s="14"/>
      <c r="B96" s="14"/>
      <c r="C96" s="15"/>
      <c r="D96" s="14"/>
      <c r="E96" s="14" t="s">
        <v>24</v>
      </c>
      <c r="F96" s="15"/>
      <c r="G96" s="15"/>
      <c r="H96" s="14"/>
      <c r="I96" s="15"/>
      <c r="J96" s="14"/>
      <c r="K96" s="14"/>
      <c r="L96" s="15"/>
      <c r="M96" s="15"/>
      <c r="N96" s="15"/>
      <c r="O96" s="15"/>
      <c r="P96" s="15"/>
      <c r="Q96" s="15"/>
      <c r="R96" s="15"/>
      <c r="S96" s="15"/>
      <c r="T96" s="18">
        <f>IF(D96="Res Space Heat",VLOOKUP(K96,#REF!,4)*H96,IF(D96="Res AC",VLOOKUP(K96,#REF!,6)*H96,IF(D96="Res Lighting",VLOOKUP(K96,#REF!,8)*H96,IF(D96="Res Refrigeration",VLOOKUP(K96,#REF!,10)*H96,IF(D96="Res Water Heating",VLOOKUP(K96,#REF!,12)*H96,IF(D96="Res Dishwasher",VLOOKUP(K96,#REF!,14)*H96,IF(D96="Res Washer Dryer",VLOOKUP(K96,#REF!,16)*H96,IF(D96="Res Misc",VLOOKUP(K96,#REF!,18)*H96,IF(D96="Res Furnace Fan",VLOOKUP(K96,#REF!,20)*H96,IF(D96="NonRes Compressed Air",VLOOKUP(K96,#REF!,22)*H96,IF(D96="NonRes Cooking",VLOOKUP(K96,#REF!,24)*H96,IF(D96="NonRes Space Cooling",VLOOKUP(K96,#REF!,26)*H96,IF(D96="NonRes Exterior Lighting",VLOOKUP(K96,#REF!,28)*H96,IF(D96="NonRes Space Heating",VLOOKUP(K96,#REF!,30)*H96,IF(D96="NonRes Water Heating",VLOOKUP(K96,#REF!,32)*H96,IF(D96="NonRes Interior Lighting",VLOOKUP(K96,#REF!,34)*H96,IF(D96="NonRes Misc",VLOOKUP(K96,#REF!,36)*H96,IF(D96="NonRes Motors",VLOOKUP(K96,#REF!,38)*H96,IF(D96="NonRes Office Equipment",VLOOKUP(K96,#REF!,40)*H96,IF(D96="NonRes Process",VLOOKUP(K96,#REF!,42)*H96,IF(D96="NonRes Refrigeration",VLOOKUP(K96,#REF!,44)*H96,IF(D96="NonRes Ventilation",VLOOKUP(K96,#REF!,46)*H96,0))))))))))))))))))))))</f>
        <v>0</v>
      </c>
      <c r="U96" s="18">
        <f>IF(E96="Annual",VLOOKUP(K96,#REF!,4)*'3.6 - Open'!J96,IF(E96="Winter",VLOOKUP('3.6 - Open'!K96,#REF!,5)*'3.6 - Open'!J96,IF(E96="NA",0,0)))</f>
        <v>0</v>
      </c>
      <c r="V96" s="19">
        <f t="shared" si="35"/>
        <v>0</v>
      </c>
      <c r="W96" s="19">
        <f t="shared" si="36"/>
        <v>0</v>
      </c>
      <c r="X96" s="19">
        <f t="shared" si="37"/>
        <v>0</v>
      </c>
      <c r="Y96" s="19">
        <f t="shared" si="38"/>
        <v>0</v>
      </c>
      <c r="Z96" s="20" t="e">
        <f>(T96+U96+(PV(#REF!,'3.6 - Open'!K96,'3.6 - Open'!P96)*-1)+'3.6 - Open'!O96)/'3.6 - Open'!F96</f>
        <v>#REF!</v>
      </c>
      <c r="AA96" s="20" t="e">
        <f t="shared" si="39"/>
        <v>#DIV/0!</v>
      </c>
      <c r="AB96" s="21">
        <f t="shared" si="40"/>
        <v>0</v>
      </c>
      <c r="AC96" s="20">
        <f t="shared" si="41"/>
        <v>0</v>
      </c>
      <c r="AD96" s="20">
        <f t="shared" si="42"/>
        <v>0</v>
      </c>
      <c r="AE96" s="20">
        <f t="shared" si="43"/>
        <v>0</v>
      </c>
      <c r="AF96" s="19">
        <f t="shared" si="44"/>
        <v>0</v>
      </c>
      <c r="AG96" s="19">
        <f t="shared" si="45"/>
        <v>0</v>
      </c>
      <c r="AH96" s="19">
        <f t="shared" si="46"/>
        <v>0</v>
      </c>
      <c r="AI96" s="19">
        <f t="shared" si="47"/>
        <v>0</v>
      </c>
      <c r="AJ96" s="15">
        <v>0</v>
      </c>
      <c r="AK96" s="19">
        <f t="shared" si="50"/>
        <v>0</v>
      </c>
      <c r="AL96" s="19">
        <f t="shared" si="51"/>
        <v>0</v>
      </c>
      <c r="AM96" s="19">
        <f t="shared" si="48"/>
        <v>0</v>
      </c>
      <c r="AN96" s="19" t="e">
        <f t="shared" si="49"/>
        <v>#DIV/0!</v>
      </c>
      <c r="AO96" s="19" t="e">
        <f t="shared" si="52"/>
        <v>#DIV/0!</v>
      </c>
      <c r="AP96" s="18" t="e">
        <f>-PV(#REF!,'3.6 - Open'!K96,'3.6 - Open'!P96)*'3.6 - Open'!B96</f>
        <v>#REF!</v>
      </c>
      <c r="AQ96" s="19" t="e">
        <f t="shared" si="53"/>
        <v>#REF!</v>
      </c>
      <c r="AR96" s="19" t="e">
        <f t="shared" si="54"/>
        <v>#REF!</v>
      </c>
      <c r="AS96" s="18" t="e">
        <f>B96*H96*K96*#REF!</f>
        <v>#REF!</v>
      </c>
      <c r="AT96" s="19" t="e">
        <f>B96*J96*K96*#REF!</f>
        <v>#REF!</v>
      </c>
      <c r="AU96" s="6"/>
      <c r="AV96" s="6"/>
      <c r="AW96" s="6"/>
      <c r="AX96" s="6"/>
      <c r="AY96" s="6"/>
    </row>
    <row r="97" spans="1:51" x14ac:dyDescent="0.25">
      <c r="A97" s="14"/>
      <c r="B97" s="14"/>
      <c r="C97" s="15"/>
      <c r="D97" s="14"/>
      <c r="E97" s="14" t="s">
        <v>24</v>
      </c>
      <c r="F97" s="15"/>
      <c r="G97" s="15"/>
      <c r="H97" s="14"/>
      <c r="I97" s="15"/>
      <c r="J97" s="14"/>
      <c r="K97" s="14"/>
      <c r="L97" s="15"/>
      <c r="M97" s="15"/>
      <c r="N97" s="15"/>
      <c r="O97" s="15"/>
      <c r="P97" s="15"/>
      <c r="Q97" s="15"/>
      <c r="R97" s="15"/>
      <c r="S97" s="15"/>
      <c r="T97" s="18">
        <f>IF(D97="Res Space Heat",VLOOKUP(K97,#REF!,4)*H97,IF(D97="Res AC",VLOOKUP(K97,#REF!,6)*H97,IF(D97="Res Lighting",VLOOKUP(K97,#REF!,8)*H97,IF(D97="Res Refrigeration",VLOOKUP(K97,#REF!,10)*H97,IF(D97="Res Water Heating",VLOOKUP(K97,#REF!,12)*H97,IF(D97="Res Dishwasher",VLOOKUP(K97,#REF!,14)*H97,IF(D97="Res Washer Dryer",VLOOKUP(K97,#REF!,16)*H97,IF(D97="Res Misc",VLOOKUP(K97,#REF!,18)*H97,IF(D97="Res Furnace Fan",VLOOKUP(K97,#REF!,20)*H97,IF(D97="NonRes Compressed Air",VLOOKUP(K97,#REF!,22)*H97,IF(D97="NonRes Cooking",VLOOKUP(K97,#REF!,24)*H97,IF(D97="NonRes Space Cooling",VLOOKUP(K97,#REF!,26)*H97,IF(D97="NonRes Exterior Lighting",VLOOKUP(K97,#REF!,28)*H97,IF(D97="NonRes Space Heating",VLOOKUP(K97,#REF!,30)*H97,IF(D97="NonRes Water Heating",VLOOKUP(K97,#REF!,32)*H97,IF(D97="NonRes Interior Lighting",VLOOKUP(K97,#REF!,34)*H97,IF(D97="NonRes Misc",VLOOKUP(K97,#REF!,36)*H97,IF(D97="NonRes Motors",VLOOKUP(K97,#REF!,38)*H97,IF(D97="NonRes Office Equipment",VLOOKUP(K97,#REF!,40)*H97,IF(D97="NonRes Process",VLOOKUP(K97,#REF!,42)*H97,IF(D97="NonRes Refrigeration",VLOOKUP(K97,#REF!,44)*H97,IF(D97="NonRes Ventilation",VLOOKUP(K97,#REF!,46)*H97,0))))))))))))))))))))))</f>
        <v>0</v>
      </c>
      <c r="U97" s="18">
        <f>IF(E97="Annual",VLOOKUP(K97,#REF!,4)*'3.6 - Open'!J97,IF(E97="Winter",VLOOKUP('3.6 - Open'!K97,#REF!,5)*'3.6 - Open'!J97,IF(E97="NA",0,0)))</f>
        <v>0</v>
      </c>
      <c r="V97" s="19">
        <f t="shared" si="35"/>
        <v>0</v>
      </c>
      <c r="W97" s="19">
        <f t="shared" si="36"/>
        <v>0</v>
      </c>
      <c r="X97" s="19">
        <f t="shared" si="37"/>
        <v>0</v>
      </c>
      <c r="Y97" s="19">
        <f t="shared" si="38"/>
        <v>0</v>
      </c>
      <c r="Z97" s="20" t="e">
        <f>(T97+U97+(PV(#REF!,'3.6 - Open'!K97,'3.6 - Open'!P97)*-1)+'3.6 - Open'!O97)/'3.6 - Open'!F97</f>
        <v>#REF!</v>
      </c>
      <c r="AA97" s="20" t="e">
        <f t="shared" si="39"/>
        <v>#DIV/0!</v>
      </c>
      <c r="AB97" s="21">
        <f t="shared" si="40"/>
        <v>0</v>
      </c>
      <c r="AC97" s="20">
        <f t="shared" si="41"/>
        <v>0</v>
      </c>
      <c r="AD97" s="20">
        <f t="shared" si="42"/>
        <v>0</v>
      </c>
      <c r="AE97" s="20">
        <f t="shared" si="43"/>
        <v>0</v>
      </c>
      <c r="AF97" s="19">
        <f t="shared" si="44"/>
        <v>0</v>
      </c>
      <c r="AG97" s="19">
        <f t="shared" si="45"/>
        <v>0</v>
      </c>
      <c r="AH97" s="19">
        <f t="shared" si="46"/>
        <v>0</v>
      </c>
      <c r="AI97" s="19">
        <f t="shared" si="47"/>
        <v>0</v>
      </c>
      <c r="AJ97" s="15">
        <v>0</v>
      </c>
      <c r="AK97" s="19">
        <f t="shared" si="50"/>
        <v>0</v>
      </c>
      <c r="AL97" s="19">
        <f t="shared" si="51"/>
        <v>0</v>
      </c>
      <c r="AM97" s="19">
        <f t="shared" si="48"/>
        <v>0</v>
      </c>
      <c r="AN97" s="19" t="e">
        <f t="shared" si="49"/>
        <v>#DIV/0!</v>
      </c>
      <c r="AO97" s="19" t="e">
        <f t="shared" si="52"/>
        <v>#DIV/0!</v>
      </c>
      <c r="AP97" s="18" t="e">
        <f>-PV(#REF!,'3.6 - Open'!K97,'3.6 - Open'!P97)*'3.6 - Open'!B97</f>
        <v>#REF!</v>
      </c>
      <c r="AQ97" s="19" t="e">
        <f t="shared" si="53"/>
        <v>#REF!</v>
      </c>
      <c r="AR97" s="19" t="e">
        <f t="shared" si="54"/>
        <v>#REF!</v>
      </c>
      <c r="AS97" s="18" t="e">
        <f>B97*H97*K97*#REF!</f>
        <v>#REF!</v>
      </c>
      <c r="AT97" s="19" t="e">
        <f>B97*J97*K97*#REF!</f>
        <v>#REF!</v>
      </c>
      <c r="AU97" s="6"/>
      <c r="AV97" s="6"/>
      <c r="AW97" s="6"/>
      <c r="AX97" s="6"/>
      <c r="AY97" s="6"/>
    </row>
    <row r="98" spans="1:51" x14ac:dyDescent="0.25">
      <c r="A98" s="14"/>
      <c r="B98" s="14"/>
      <c r="C98" s="15"/>
      <c r="D98" s="14"/>
      <c r="E98" s="14" t="s">
        <v>24</v>
      </c>
      <c r="F98" s="15"/>
      <c r="G98" s="15"/>
      <c r="H98" s="14"/>
      <c r="I98" s="15"/>
      <c r="J98" s="14"/>
      <c r="K98" s="14"/>
      <c r="L98" s="15"/>
      <c r="M98" s="15"/>
      <c r="N98" s="15"/>
      <c r="O98" s="15"/>
      <c r="P98" s="15"/>
      <c r="Q98" s="15"/>
      <c r="R98" s="15"/>
      <c r="S98" s="15"/>
      <c r="T98" s="18">
        <f>IF(D98="Res Space Heat",VLOOKUP(K98,#REF!,4)*H98,IF(D98="Res AC",VLOOKUP(K98,#REF!,6)*H98,IF(D98="Res Lighting",VLOOKUP(K98,#REF!,8)*H98,IF(D98="Res Refrigeration",VLOOKUP(K98,#REF!,10)*H98,IF(D98="Res Water Heating",VLOOKUP(K98,#REF!,12)*H98,IF(D98="Res Dishwasher",VLOOKUP(K98,#REF!,14)*H98,IF(D98="Res Washer Dryer",VLOOKUP(K98,#REF!,16)*H98,IF(D98="Res Misc",VLOOKUP(K98,#REF!,18)*H98,IF(D98="Res Furnace Fan",VLOOKUP(K98,#REF!,20)*H98,IF(D98="NonRes Compressed Air",VLOOKUP(K98,#REF!,22)*H98,IF(D98="NonRes Cooking",VLOOKUP(K98,#REF!,24)*H98,IF(D98="NonRes Space Cooling",VLOOKUP(K98,#REF!,26)*H98,IF(D98="NonRes Exterior Lighting",VLOOKUP(K98,#REF!,28)*H98,IF(D98="NonRes Space Heating",VLOOKUP(K98,#REF!,30)*H98,IF(D98="NonRes Water Heating",VLOOKUP(K98,#REF!,32)*H98,IF(D98="NonRes Interior Lighting",VLOOKUP(K98,#REF!,34)*H98,IF(D98="NonRes Misc",VLOOKUP(K98,#REF!,36)*H98,IF(D98="NonRes Motors",VLOOKUP(K98,#REF!,38)*H98,IF(D98="NonRes Office Equipment",VLOOKUP(K98,#REF!,40)*H98,IF(D98="NonRes Process",VLOOKUP(K98,#REF!,42)*H98,IF(D98="NonRes Refrigeration",VLOOKUP(K98,#REF!,44)*H98,IF(D98="NonRes Ventilation",VLOOKUP(K98,#REF!,46)*H98,0))))))))))))))))))))))</f>
        <v>0</v>
      </c>
      <c r="U98" s="18">
        <f>IF(E98="Annual",VLOOKUP(K98,#REF!,4)*'3.6 - Open'!J98,IF(E98="Winter",VLOOKUP('3.6 - Open'!K98,#REF!,5)*'3.6 - Open'!J98,IF(E98="NA",0,0)))</f>
        <v>0</v>
      </c>
      <c r="V98" s="19">
        <f t="shared" si="35"/>
        <v>0</v>
      </c>
      <c r="W98" s="19">
        <f t="shared" si="36"/>
        <v>0</v>
      </c>
      <c r="X98" s="19">
        <f t="shared" si="37"/>
        <v>0</v>
      </c>
      <c r="Y98" s="19">
        <f t="shared" si="38"/>
        <v>0</v>
      </c>
      <c r="Z98" s="20" t="e">
        <f>(T98+U98+(PV(#REF!,'3.6 - Open'!K98,'3.6 - Open'!P98)*-1)+'3.6 - Open'!O98)/'3.6 - Open'!F98</f>
        <v>#REF!</v>
      </c>
      <c r="AA98" s="20" t="e">
        <f t="shared" si="39"/>
        <v>#DIV/0!</v>
      </c>
      <c r="AB98" s="21">
        <f t="shared" si="40"/>
        <v>0</v>
      </c>
      <c r="AC98" s="20">
        <f t="shared" si="41"/>
        <v>0</v>
      </c>
      <c r="AD98" s="20">
        <f t="shared" si="42"/>
        <v>0</v>
      </c>
      <c r="AE98" s="20">
        <f t="shared" si="43"/>
        <v>0</v>
      </c>
      <c r="AF98" s="19">
        <f t="shared" si="44"/>
        <v>0</v>
      </c>
      <c r="AG98" s="19">
        <f t="shared" si="45"/>
        <v>0</v>
      </c>
      <c r="AH98" s="19">
        <f t="shared" si="46"/>
        <v>0</v>
      </c>
      <c r="AI98" s="19">
        <f t="shared" si="47"/>
        <v>0</v>
      </c>
      <c r="AJ98" s="15">
        <v>0</v>
      </c>
      <c r="AK98" s="19">
        <f t="shared" si="50"/>
        <v>0</v>
      </c>
      <c r="AL98" s="19">
        <f t="shared" si="51"/>
        <v>0</v>
      </c>
      <c r="AM98" s="19">
        <f t="shared" si="48"/>
        <v>0</v>
      </c>
      <c r="AN98" s="19" t="e">
        <f t="shared" si="49"/>
        <v>#DIV/0!</v>
      </c>
      <c r="AO98" s="19" t="e">
        <f t="shared" si="52"/>
        <v>#DIV/0!</v>
      </c>
      <c r="AP98" s="18" t="e">
        <f>-PV(#REF!,'3.6 - Open'!K98,'3.6 - Open'!P98)*'3.6 - Open'!B98</f>
        <v>#REF!</v>
      </c>
      <c r="AQ98" s="19" t="e">
        <f t="shared" si="53"/>
        <v>#REF!</v>
      </c>
      <c r="AR98" s="19" t="e">
        <f t="shared" si="54"/>
        <v>#REF!</v>
      </c>
      <c r="AS98" s="18" t="e">
        <f>B98*H98*K98*#REF!</f>
        <v>#REF!</v>
      </c>
      <c r="AT98" s="19" t="e">
        <f>B98*J98*K98*#REF!</f>
        <v>#REF!</v>
      </c>
      <c r="AU98" s="6"/>
      <c r="AV98" s="6"/>
      <c r="AW98" s="6"/>
      <c r="AX98" s="6"/>
      <c r="AY98" s="6"/>
    </row>
    <row r="99" spans="1:51" x14ac:dyDescent="0.25">
      <c r="A99" s="14"/>
      <c r="B99" s="14"/>
      <c r="C99" s="15"/>
      <c r="D99" s="14"/>
      <c r="E99" s="14" t="s">
        <v>24</v>
      </c>
      <c r="F99" s="15"/>
      <c r="G99" s="15"/>
      <c r="H99" s="14"/>
      <c r="I99" s="15"/>
      <c r="J99" s="14"/>
      <c r="K99" s="14"/>
      <c r="L99" s="15"/>
      <c r="M99" s="15"/>
      <c r="N99" s="15"/>
      <c r="O99" s="15"/>
      <c r="P99" s="15"/>
      <c r="Q99" s="15"/>
      <c r="R99" s="15"/>
      <c r="S99" s="15"/>
      <c r="T99" s="18">
        <f>IF(D99="Res Space Heat",VLOOKUP(K99,#REF!,4)*H99,IF(D99="Res AC",VLOOKUP(K99,#REF!,6)*H99,IF(D99="Res Lighting",VLOOKUP(K99,#REF!,8)*H99,IF(D99="Res Refrigeration",VLOOKUP(K99,#REF!,10)*H99,IF(D99="Res Water Heating",VLOOKUP(K99,#REF!,12)*H99,IF(D99="Res Dishwasher",VLOOKUP(K99,#REF!,14)*H99,IF(D99="Res Washer Dryer",VLOOKUP(K99,#REF!,16)*H99,IF(D99="Res Misc",VLOOKUP(K99,#REF!,18)*H99,IF(D99="Res Furnace Fan",VLOOKUP(K99,#REF!,20)*H99,IF(D99="NonRes Compressed Air",VLOOKUP(K99,#REF!,22)*H99,IF(D99="NonRes Cooking",VLOOKUP(K99,#REF!,24)*H99,IF(D99="NonRes Space Cooling",VLOOKUP(K99,#REF!,26)*H99,IF(D99="NonRes Exterior Lighting",VLOOKUP(K99,#REF!,28)*H99,IF(D99="NonRes Space Heating",VLOOKUP(K99,#REF!,30)*H99,IF(D99="NonRes Water Heating",VLOOKUP(K99,#REF!,32)*H99,IF(D99="NonRes Interior Lighting",VLOOKUP(K99,#REF!,34)*H99,IF(D99="NonRes Misc",VLOOKUP(K99,#REF!,36)*H99,IF(D99="NonRes Motors",VLOOKUP(K99,#REF!,38)*H99,IF(D99="NonRes Office Equipment",VLOOKUP(K99,#REF!,40)*H99,IF(D99="NonRes Process",VLOOKUP(K99,#REF!,42)*H99,IF(D99="NonRes Refrigeration",VLOOKUP(K99,#REF!,44)*H99,IF(D99="NonRes Ventilation",VLOOKUP(K99,#REF!,46)*H99,0))))))))))))))))))))))</f>
        <v>0</v>
      </c>
      <c r="U99" s="18">
        <f>IF(E99="Annual",VLOOKUP(K99,#REF!,4)*'3.6 - Open'!J99,IF(E99="Winter",VLOOKUP('3.6 - Open'!K99,#REF!,5)*'3.6 - Open'!J99,IF(E99="NA",0,0)))</f>
        <v>0</v>
      </c>
      <c r="V99" s="19">
        <f t="shared" si="35"/>
        <v>0</v>
      </c>
      <c r="W99" s="19">
        <f t="shared" si="36"/>
        <v>0</v>
      </c>
      <c r="X99" s="19">
        <f t="shared" si="37"/>
        <v>0</v>
      </c>
      <c r="Y99" s="19">
        <f t="shared" si="38"/>
        <v>0</v>
      </c>
      <c r="Z99" s="20" t="e">
        <f>(T99+U99+(PV(#REF!,'3.6 - Open'!K99,'3.6 - Open'!P99)*-1)+'3.6 - Open'!O99)/'3.6 - Open'!F99</f>
        <v>#REF!</v>
      </c>
      <c r="AA99" s="20" t="e">
        <f t="shared" si="39"/>
        <v>#DIV/0!</v>
      </c>
      <c r="AB99" s="21">
        <f t="shared" si="40"/>
        <v>0</v>
      </c>
      <c r="AC99" s="20">
        <f t="shared" si="41"/>
        <v>0</v>
      </c>
      <c r="AD99" s="20">
        <f t="shared" si="42"/>
        <v>0</v>
      </c>
      <c r="AE99" s="20">
        <f t="shared" si="43"/>
        <v>0</v>
      </c>
      <c r="AF99" s="19">
        <f t="shared" si="44"/>
        <v>0</v>
      </c>
      <c r="AG99" s="19">
        <f t="shared" si="45"/>
        <v>0</v>
      </c>
      <c r="AH99" s="19">
        <f t="shared" si="46"/>
        <v>0</v>
      </c>
      <c r="AI99" s="19">
        <f t="shared" si="47"/>
        <v>0</v>
      </c>
      <c r="AJ99" s="15">
        <v>0</v>
      </c>
      <c r="AK99" s="19">
        <f t="shared" si="50"/>
        <v>0</v>
      </c>
      <c r="AL99" s="19">
        <f t="shared" si="51"/>
        <v>0</v>
      </c>
      <c r="AM99" s="19">
        <f t="shared" si="48"/>
        <v>0</v>
      </c>
      <c r="AN99" s="19" t="e">
        <f t="shared" si="49"/>
        <v>#DIV/0!</v>
      </c>
      <c r="AO99" s="19" t="e">
        <f t="shared" si="52"/>
        <v>#DIV/0!</v>
      </c>
      <c r="AP99" s="18" t="e">
        <f>-PV(#REF!,'3.6 - Open'!K99,'3.6 - Open'!P99)*'3.6 - Open'!B99</f>
        <v>#REF!</v>
      </c>
      <c r="AQ99" s="19" t="e">
        <f t="shared" si="53"/>
        <v>#REF!</v>
      </c>
      <c r="AR99" s="19" t="e">
        <f t="shared" si="54"/>
        <v>#REF!</v>
      </c>
      <c r="AS99" s="18" t="e">
        <f>B99*H99*K99*#REF!</f>
        <v>#REF!</v>
      </c>
      <c r="AT99" s="19" t="e">
        <f>B99*J99*K99*#REF!</f>
        <v>#REF!</v>
      </c>
      <c r="AU99" s="6"/>
      <c r="AV99" s="6"/>
      <c r="AW99" s="6"/>
      <c r="AX99" s="6"/>
      <c r="AY99" s="6"/>
    </row>
    <row r="100" spans="1:51" x14ac:dyDescent="0.25">
      <c r="A100" s="14"/>
      <c r="B100" s="14"/>
      <c r="C100" s="15"/>
      <c r="D100" s="14"/>
      <c r="E100" s="14" t="s">
        <v>24</v>
      </c>
      <c r="F100" s="15"/>
      <c r="G100" s="15"/>
      <c r="H100" s="14"/>
      <c r="I100" s="15"/>
      <c r="J100" s="14"/>
      <c r="K100" s="14"/>
      <c r="L100" s="15"/>
      <c r="M100" s="15"/>
      <c r="N100" s="15"/>
      <c r="O100" s="15"/>
      <c r="P100" s="15"/>
      <c r="Q100" s="15"/>
      <c r="R100" s="15"/>
      <c r="S100" s="15"/>
      <c r="T100" s="18">
        <f>IF(D100="Res Space Heat",VLOOKUP(K100,#REF!,4)*H100,IF(D100="Res AC",VLOOKUP(K100,#REF!,6)*H100,IF(D100="Res Lighting",VLOOKUP(K100,#REF!,8)*H100,IF(D100="Res Refrigeration",VLOOKUP(K100,#REF!,10)*H100,IF(D100="Res Water Heating",VLOOKUP(K100,#REF!,12)*H100,IF(D100="Res Dishwasher",VLOOKUP(K100,#REF!,14)*H100,IF(D100="Res Washer Dryer",VLOOKUP(K100,#REF!,16)*H100,IF(D100="Res Misc",VLOOKUP(K100,#REF!,18)*H100,IF(D100="Res Furnace Fan",VLOOKUP(K100,#REF!,20)*H100,IF(D100="NonRes Compressed Air",VLOOKUP(K100,#REF!,22)*H100,IF(D100="NonRes Cooking",VLOOKUP(K100,#REF!,24)*H100,IF(D100="NonRes Space Cooling",VLOOKUP(K100,#REF!,26)*H100,IF(D100="NonRes Exterior Lighting",VLOOKUP(K100,#REF!,28)*H100,IF(D100="NonRes Space Heating",VLOOKUP(K100,#REF!,30)*H100,IF(D100="NonRes Water Heating",VLOOKUP(K100,#REF!,32)*H100,IF(D100="NonRes Interior Lighting",VLOOKUP(K100,#REF!,34)*H100,IF(D100="NonRes Misc",VLOOKUP(K100,#REF!,36)*H100,IF(D100="NonRes Motors",VLOOKUP(K100,#REF!,38)*H100,IF(D100="NonRes Office Equipment",VLOOKUP(K100,#REF!,40)*H100,IF(D100="NonRes Process",VLOOKUP(K100,#REF!,42)*H100,IF(D100="NonRes Refrigeration",VLOOKUP(K100,#REF!,44)*H100,IF(D100="NonRes Ventilation",VLOOKUP(K100,#REF!,46)*H100,0))))))))))))))))))))))</f>
        <v>0</v>
      </c>
      <c r="U100" s="18">
        <f>IF(E100="Annual",VLOOKUP(K100,#REF!,4)*'3.6 - Open'!J100,IF(E100="Winter",VLOOKUP('3.6 - Open'!K100,#REF!,5)*'3.6 - Open'!J100,IF(E100="NA",0,0)))</f>
        <v>0</v>
      </c>
      <c r="V100" s="19">
        <f t="shared" si="35"/>
        <v>0</v>
      </c>
      <c r="W100" s="19">
        <f>F100-V100</f>
        <v>0</v>
      </c>
      <c r="X100" s="19">
        <f t="shared" si="37"/>
        <v>0</v>
      </c>
      <c r="Y100" s="19">
        <f>M100-X100</f>
        <v>0</v>
      </c>
      <c r="Z100" s="20" t="e">
        <f>(T100+U100+(PV(#REF!,'3.6 - Open'!K100,'3.6 - Open'!P100)*-1)+'3.6 - Open'!O100)/'3.6 - Open'!F100</f>
        <v>#REF!</v>
      </c>
      <c r="AA100" s="20" t="e">
        <f t="shared" si="39"/>
        <v>#DIV/0!</v>
      </c>
      <c r="AB100" s="21">
        <f t="shared" si="40"/>
        <v>0</v>
      </c>
      <c r="AC100" s="20">
        <f t="shared" si="41"/>
        <v>0</v>
      </c>
      <c r="AD100" s="20">
        <f t="shared" si="42"/>
        <v>0</v>
      </c>
      <c r="AE100" s="20">
        <f t="shared" si="43"/>
        <v>0</v>
      </c>
      <c r="AF100" s="19">
        <f t="shared" si="44"/>
        <v>0</v>
      </c>
      <c r="AG100" s="19">
        <f t="shared" si="45"/>
        <v>0</v>
      </c>
      <c r="AH100" s="19">
        <f t="shared" si="46"/>
        <v>0</v>
      </c>
      <c r="AI100" s="19">
        <f t="shared" si="47"/>
        <v>0</v>
      </c>
      <c r="AJ100" s="15">
        <v>0</v>
      </c>
      <c r="AK100" s="19">
        <f t="shared" si="50"/>
        <v>0</v>
      </c>
      <c r="AL100" s="19">
        <f t="shared" si="51"/>
        <v>0</v>
      </c>
      <c r="AM100" s="19">
        <f t="shared" si="48"/>
        <v>0</v>
      </c>
      <c r="AN100" s="19" t="e">
        <f>IF(J100&lt;0,O100*B100,AM100*(T100/(T100+U100)))</f>
        <v>#DIV/0!</v>
      </c>
      <c r="AO100" s="19" t="e">
        <f t="shared" si="52"/>
        <v>#DIV/0!</v>
      </c>
      <c r="AP100" s="18" t="e">
        <f>-PV(#REF!,'3.6 - Open'!K100,'3.6 - Open'!P100)*'3.6 - Open'!B100</f>
        <v>#REF!</v>
      </c>
      <c r="AQ100" s="19" t="e">
        <f t="shared" si="53"/>
        <v>#REF!</v>
      </c>
      <c r="AR100" s="19" t="e">
        <f t="shared" si="54"/>
        <v>#REF!</v>
      </c>
      <c r="AS100" s="18" t="e">
        <f>B100*H100*K100*#REF!</f>
        <v>#REF!</v>
      </c>
      <c r="AT100" s="19" t="e">
        <f>B100*J100*K100*#REF!</f>
        <v>#REF!</v>
      </c>
      <c r="AU100" s="6"/>
      <c r="AV100" s="6"/>
      <c r="AW100" s="6"/>
      <c r="AX100" s="6"/>
      <c r="AY100" s="6"/>
    </row>
    <row r="101" spans="1:51" x14ac:dyDescent="0.25">
      <c r="A101" s="14"/>
      <c r="B101" s="14"/>
      <c r="C101" s="15"/>
      <c r="D101" s="14"/>
      <c r="E101" s="14" t="s">
        <v>24</v>
      </c>
      <c r="F101" s="15"/>
      <c r="G101" s="15"/>
      <c r="H101" s="14"/>
      <c r="I101" s="15"/>
      <c r="J101" s="14"/>
      <c r="K101" s="14"/>
      <c r="L101" s="15"/>
      <c r="M101" s="15"/>
      <c r="N101" s="15"/>
      <c r="O101" s="15"/>
      <c r="P101" s="15"/>
      <c r="Q101" s="15"/>
      <c r="R101" s="15"/>
      <c r="S101" s="15"/>
      <c r="T101" s="18">
        <f>IF(D101="Res Space Heat",VLOOKUP(K101,#REF!,4)*H101,IF(D101="Res AC",VLOOKUP(K101,#REF!,6)*H101,IF(D101="Res Lighting",VLOOKUP(K101,#REF!,8)*H101,IF(D101="Res Refrigeration",VLOOKUP(K101,#REF!,10)*H101,IF(D101="Res Water Heating",VLOOKUP(K101,#REF!,12)*H101,IF(D101="Res Dishwasher",VLOOKUP(K101,#REF!,14)*H101,IF(D101="Res Washer Dryer",VLOOKUP(K101,#REF!,16)*H101,IF(D101="Res Misc",VLOOKUP(K101,#REF!,18)*H101,IF(D101="Res Furnace Fan",VLOOKUP(K101,#REF!,20)*H101,IF(D101="NonRes Compressed Air",VLOOKUP(K101,#REF!,22)*H101,IF(D101="NonRes Cooking",VLOOKUP(K101,#REF!,24)*H101,IF(D101="NonRes Space Cooling",VLOOKUP(K101,#REF!,26)*H101,IF(D101="NonRes Exterior Lighting",VLOOKUP(K101,#REF!,28)*H101,IF(D101="NonRes Space Heating",VLOOKUP(K101,#REF!,30)*H101,IF(D101="NonRes Water Heating",VLOOKUP(K101,#REF!,32)*H101,IF(D101="NonRes Interior Lighting",VLOOKUP(K101,#REF!,34)*H101,IF(D101="NonRes Misc",VLOOKUP(K101,#REF!,36)*H101,IF(D101="NonRes Motors",VLOOKUP(K101,#REF!,38)*H101,IF(D101="NonRes Office Equipment",VLOOKUP(K101,#REF!,40)*H101,IF(D101="NonRes Process",VLOOKUP(K101,#REF!,42)*H101,IF(D101="NonRes Refrigeration",VLOOKUP(K101,#REF!,44)*H101,IF(D101="NonRes Ventilation",VLOOKUP(K101,#REF!,46)*H101,0))))))))))))))))))))))</f>
        <v>0</v>
      </c>
      <c r="U101" s="18">
        <f>IF(E101="Annual",VLOOKUP(K101,#REF!,4)*'3.6 - Open'!J101,IF(E101="Winter",VLOOKUP('3.6 - Open'!K101,#REF!,5)*'3.6 - Open'!J101,IF(E101="NA",0,0)))</f>
        <v>0</v>
      </c>
      <c r="V101" s="19">
        <f t="shared" si="35"/>
        <v>0</v>
      </c>
      <c r="W101" s="19">
        <f>F101-V101</f>
        <v>0</v>
      </c>
      <c r="X101" s="19">
        <f t="shared" si="37"/>
        <v>0</v>
      </c>
      <c r="Y101" s="19">
        <f>M101-X101</f>
        <v>0</v>
      </c>
      <c r="Z101" s="20" t="e">
        <f>(T101+U101+(PV(#REF!,'3.6 - Open'!K101,'3.6 - Open'!P101)*-1)+'3.6 - Open'!O101)/'3.6 - Open'!F101</f>
        <v>#REF!</v>
      </c>
      <c r="AA101" s="20" t="e">
        <f t="shared" si="39"/>
        <v>#DIV/0!</v>
      </c>
      <c r="AB101" s="21">
        <f t="shared" si="40"/>
        <v>0</v>
      </c>
      <c r="AC101" s="20">
        <f t="shared" si="41"/>
        <v>0</v>
      </c>
      <c r="AD101" s="20">
        <f t="shared" si="42"/>
        <v>0</v>
      </c>
      <c r="AE101" s="20">
        <f t="shared" si="43"/>
        <v>0</v>
      </c>
      <c r="AF101" s="19">
        <f t="shared" si="44"/>
        <v>0</v>
      </c>
      <c r="AG101" s="19">
        <f t="shared" si="45"/>
        <v>0</v>
      </c>
      <c r="AH101" s="19">
        <f t="shared" si="46"/>
        <v>0</v>
      </c>
      <c r="AI101" s="19">
        <f t="shared" si="47"/>
        <v>0</v>
      </c>
      <c r="AJ101" s="15">
        <v>0</v>
      </c>
      <c r="AK101" s="19">
        <f t="shared" si="50"/>
        <v>0</v>
      </c>
      <c r="AL101" s="19">
        <f t="shared" si="51"/>
        <v>0</v>
      </c>
      <c r="AM101" s="19">
        <f t="shared" si="48"/>
        <v>0</v>
      </c>
      <c r="AN101" s="19" t="e">
        <f>IF(J101&lt;0,O101*B101,AM101*(T101/(T101+U101)))</f>
        <v>#DIV/0!</v>
      </c>
      <c r="AO101" s="19" t="e">
        <f t="shared" si="52"/>
        <v>#DIV/0!</v>
      </c>
      <c r="AP101" s="18" t="e">
        <f>-PV(#REF!,'3.6 - Open'!K101,'3.6 - Open'!P101)*'3.6 - Open'!B101</f>
        <v>#REF!</v>
      </c>
      <c r="AQ101" s="19" t="e">
        <f t="shared" si="53"/>
        <v>#REF!</v>
      </c>
      <c r="AR101" s="19" t="e">
        <f t="shared" si="54"/>
        <v>#REF!</v>
      </c>
      <c r="AS101" s="18" t="e">
        <f>B101*H101*K101*#REF!</f>
        <v>#REF!</v>
      </c>
      <c r="AT101" s="19" t="e">
        <f>B101*J101*K101*#REF!</f>
        <v>#REF!</v>
      </c>
      <c r="AU101" s="6"/>
      <c r="AV101" s="6"/>
      <c r="AW101" s="6"/>
      <c r="AX101" s="6"/>
      <c r="AY101" s="6"/>
    </row>
    <row r="102" spans="1:51" x14ac:dyDescent="0.25">
      <c r="A102" s="14"/>
      <c r="B102" s="14"/>
      <c r="C102" s="15"/>
      <c r="D102" s="14"/>
      <c r="E102" s="14" t="s">
        <v>24</v>
      </c>
      <c r="F102" s="15"/>
      <c r="G102" s="15"/>
      <c r="H102" s="14"/>
      <c r="I102" s="15"/>
      <c r="J102" s="14"/>
      <c r="K102" s="14"/>
      <c r="L102" s="15"/>
      <c r="M102" s="15"/>
      <c r="N102" s="15"/>
      <c r="O102" s="15"/>
      <c r="P102" s="15"/>
      <c r="Q102" s="15"/>
      <c r="R102" s="15"/>
      <c r="S102" s="15"/>
      <c r="T102" s="18">
        <f>IF(D102="Res Space Heat",VLOOKUP(K102,#REF!,4)*H102,IF(D102="Res AC",VLOOKUP(K102,#REF!,6)*H102,IF(D102="Res Lighting",VLOOKUP(K102,#REF!,8)*H102,IF(D102="Res Refrigeration",VLOOKUP(K102,#REF!,10)*H102,IF(D102="Res Water Heating",VLOOKUP(K102,#REF!,12)*H102,IF(D102="Res Dishwasher",VLOOKUP(K102,#REF!,14)*H102,IF(D102="Res Washer Dryer",VLOOKUP(K102,#REF!,16)*H102,IF(D102="Res Misc",VLOOKUP(K102,#REF!,18)*H102,IF(D102="Res Furnace Fan",VLOOKUP(K102,#REF!,20)*H102,IF(D102="NonRes Compressed Air",VLOOKUP(K102,#REF!,22)*H102,IF(D102="NonRes Cooking",VLOOKUP(K102,#REF!,24)*H102,IF(D102="NonRes Space Cooling",VLOOKUP(K102,#REF!,26)*H102,IF(D102="NonRes Exterior Lighting",VLOOKUP(K102,#REF!,28)*H102,IF(D102="NonRes Space Heating",VLOOKUP(K102,#REF!,30)*H102,IF(D102="NonRes Water Heating",VLOOKUP(K102,#REF!,32)*H102,IF(D102="NonRes Interior Lighting",VLOOKUP(K102,#REF!,34)*H102,IF(D102="NonRes Misc",VLOOKUP(K102,#REF!,36)*H102,IF(D102="NonRes Motors",VLOOKUP(K102,#REF!,38)*H102,IF(D102="NonRes Office Equipment",VLOOKUP(K102,#REF!,40)*H102,IF(D102="NonRes Process",VLOOKUP(K102,#REF!,42)*H102,IF(D102="NonRes Refrigeration",VLOOKUP(K102,#REF!,44)*H102,IF(D102="NonRes Ventilation",VLOOKUP(K102,#REF!,46)*H102,0))))))))))))))))))))))</f>
        <v>0</v>
      </c>
      <c r="U102" s="18">
        <f>IF(E102="Annual",VLOOKUP(K102,#REF!,4)*'3.6 - Open'!J102,IF(E102="Winter",VLOOKUP('3.6 - Open'!K102,#REF!,5)*'3.6 - Open'!J102,IF(E102="NA",0,0)))</f>
        <v>0</v>
      </c>
      <c r="V102" s="19">
        <f t="shared" si="35"/>
        <v>0</v>
      </c>
      <c r="W102" s="19">
        <f>F102-V102</f>
        <v>0</v>
      </c>
      <c r="X102" s="19">
        <f t="shared" si="37"/>
        <v>0</v>
      </c>
      <c r="Y102" s="19">
        <f>M102-X102</f>
        <v>0</v>
      </c>
      <c r="Z102" s="20" t="e">
        <f>(T102+U102+(PV(#REF!,'3.6 - Open'!K102,'3.6 - Open'!P102)*-1)+'3.6 - Open'!O102)/'3.6 - Open'!F102</f>
        <v>#REF!</v>
      </c>
      <c r="AA102" s="20" t="e">
        <f t="shared" si="39"/>
        <v>#DIV/0!</v>
      </c>
      <c r="AB102" s="21">
        <f t="shared" si="40"/>
        <v>0</v>
      </c>
      <c r="AC102" s="20">
        <f t="shared" si="41"/>
        <v>0</v>
      </c>
      <c r="AD102" s="20">
        <f t="shared" si="42"/>
        <v>0</v>
      </c>
      <c r="AE102" s="20">
        <f t="shared" si="43"/>
        <v>0</v>
      </c>
      <c r="AF102" s="19">
        <f t="shared" si="44"/>
        <v>0</v>
      </c>
      <c r="AG102" s="19">
        <f t="shared" si="45"/>
        <v>0</v>
      </c>
      <c r="AH102" s="19">
        <f t="shared" si="46"/>
        <v>0</v>
      </c>
      <c r="AI102" s="19">
        <f t="shared" si="47"/>
        <v>0</v>
      </c>
      <c r="AJ102" s="15">
        <v>0</v>
      </c>
      <c r="AK102" s="19">
        <f t="shared" si="50"/>
        <v>0</v>
      </c>
      <c r="AL102" s="19">
        <f t="shared" si="51"/>
        <v>0</v>
      </c>
      <c r="AM102" s="19">
        <f t="shared" si="48"/>
        <v>0</v>
      </c>
      <c r="AN102" s="19" t="e">
        <f>IF(J102&lt;0,O102*B102,AM102*(T102/(T102+U102)))</f>
        <v>#DIV/0!</v>
      </c>
      <c r="AO102" s="19" t="e">
        <f t="shared" si="52"/>
        <v>#DIV/0!</v>
      </c>
      <c r="AP102" s="18" t="e">
        <f>-PV(#REF!,'3.6 - Open'!K102,'3.6 - Open'!P102)*'3.6 - Open'!B102</f>
        <v>#REF!</v>
      </c>
      <c r="AQ102" s="19" t="e">
        <f t="shared" si="53"/>
        <v>#REF!</v>
      </c>
      <c r="AR102" s="19" t="e">
        <f t="shared" si="54"/>
        <v>#REF!</v>
      </c>
      <c r="AS102" s="18" t="e">
        <f>B102*H102*K102*#REF!</f>
        <v>#REF!</v>
      </c>
      <c r="AT102" s="19" t="e">
        <f>B102*J102*K102*#REF!</f>
        <v>#REF!</v>
      </c>
      <c r="AU102" s="6"/>
      <c r="AV102" s="6"/>
      <c r="AW102" s="6"/>
      <c r="AX102" s="6"/>
      <c r="AY102" s="6"/>
    </row>
    <row r="103" spans="1:51" s="3" customFormat="1" x14ac:dyDescent="0.25">
      <c r="A103" s="3" t="s">
        <v>43</v>
      </c>
      <c r="C103" s="106"/>
      <c r="G103" s="106"/>
      <c r="I103" s="106"/>
      <c r="L103" s="106"/>
      <c r="N103" s="106"/>
      <c r="Q103" s="106"/>
      <c r="R103" s="106"/>
      <c r="S103" s="106"/>
      <c r="AB103" s="4">
        <f>SUMIF(AB4:AB102,"&lt;&gt;#DIV/0!")</f>
        <v>0</v>
      </c>
      <c r="AC103" s="4">
        <f t="shared" ref="AC103:AT103" si="55">SUMIF(AC4:AC102,"&lt;&gt;#DIV/0!")</f>
        <v>0</v>
      </c>
      <c r="AD103" s="4">
        <f t="shared" si="55"/>
        <v>0</v>
      </c>
      <c r="AE103" s="4">
        <f t="shared" si="55"/>
        <v>0</v>
      </c>
      <c r="AF103" s="4">
        <f t="shared" si="55"/>
        <v>0</v>
      </c>
      <c r="AG103" s="4">
        <f t="shared" si="55"/>
        <v>0</v>
      </c>
      <c r="AH103" s="4">
        <f t="shared" si="55"/>
        <v>0</v>
      </c>
      <c r="AI103" s="4">
        <f t="shared" si="55"/>
        <v>0</v>
      </c>
      <c r="AJ103" s="4">
        <f t="shared" si="55"/>
        <v>0</v>
      </c>
      <c r="AK103" s="19">
        <f t="shared" si="50"/>
        <v>0</v>
      </c>
      <c r="AL103" s="4">
        <f t="shared" si="55"/>
        <v>0</v>
      </c>
      <c r="AM103" s="4">
        <f t="shared" si="55"/>
        <v>0</v>
      </c>
      <c r="AN103" s="4">
        <f t="shared" si="55"/>
        <v>0</v>
      </c>
      <c r="AO103" s="4">
        <f t="shared" si="55"/>
        <v>0</v>
      </c>
      <c r="AP103" s="4" t="e">
        <f t="shared" si="55"/>
        <v>#REF!</v>
      </c>
      <c r="AQ103" s="4" t="e">
        <f t="shared" si="55"/>
        <v>#REF!</v>
      </c>
      <c r="AR103" s="4" t="e">
        <f t="shared" si="55"/>
        <v>#REF!</v>
      </c>
      <c r="AS103" s="4" t="e">
        <f t="shared" si="55"/>
        <v>#REF!</v>
      </c>
      <c r="AT103" s="4" t="e">
        <f t="shared" si="55"/>
        <v>#REF!</v>
      </c>
    </row>
  </sheetData>
  <dataValidations count="2">
    <dataValidation type="list" allowBlank="1" showInputMessage="1" showErrorMessage="1" sqref="D4:D102" xr:uid="{00000000-0002-0000-0300-000000000000}">
      <formula1>Elec_Measure_Type</formula1>
    </dataValidation>
    <dataValidation type="list" allowBlank="1" showInputMessage="1" showErrorMessage="1" sqref="E4:E102" xr:uid="{00000000-0002-0000-0300-000001000000}">
      <formula1>$BK$24:$BK$26</formula1>
    </dataValidation>
  </dataValidation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B2:AD122"/>
  <sheetViews>
    <sheetView topLeftCell="H1" workbookViewId="0">
      <selection activeCell="L22" sqref="L22"/>
    </sheetView>
  </sheetViews>
  <sheetFormatPr defaultColWidth="9.140625" defaultRowHeight="15" x14ac:dyDescent="0.25"/>
  <cols>
    <col min="1" max="1" width="9.140625" style="183"/>
    <col min="2" max="2" width="26.140625" style="183" customWidth="1"/>
    <col min="3" max="3" width="9.42578125" style="183" bestFit="1" customWidth="1"/>
    <col min="4" max="4" width="9.5703125" style="183" bestFit="1" customWidth="1"/>
    <col min="5" max="5" width="13.140625" style="183" customWidth="1"/>
    <col min="6" max="6" width="14.140625" style="183" customWidth="1"/>
    <col min="7" max="8" width="9.140625" style="183"/>
    <col min="9" max="9" width="9" style="183" hidden="1" customWidth="1"/>
    <col min="10" max="10" width="11.28515625" style="183" hidden="1" customWidth="1"/>
    <col min="11" max="11" width="11.85546875" style="183" hidden="1" customWidth="1"/>
    <col min="12" max="12" width="35.28515625" style="183" bestFit="1" customWidth="1"/>
    <col min="13" max="13" width="12.5703125" style="183" bestFit="1" customWidth="1"/>
    <col min="14" max="14" width="11.5703125" style="183" bestFit="1" customWidth="1"/>
    <col min="15" max="16" width="9.140625" style="183"/>
    <col min="17" max="17" width="12.140625" style="183" hidden="1" customWidth="1"/>
    <col min="18" max="18" width="15.7109375" style="183" hidden="1" customWidth="1"/>
    <col min="19" max="19" width="18.42578125" style="183" hidden="1" customWidth="1"/>
    <col min="20" max="20" width="26" style="183" bestFit="1" customWidth="1"/>
    <col min="21" max="21" width="16.28515625" style="183" customWidth="1"/>
    <col min="22" max="22" width="34.140625" style="183" bestFit="1" customWidth="1"/>
    <col min="23" max="23" width="12.42578125" style="183" customWidth="1"/>
    <col min="24" max="24" width="11.85546875" style="183" customWidth="1"/>
    <col min="25" max="25" width="11.42578125" style="183" customWidth="1"/>
    <col min="26" max="16384" width="9.140625" style="183"/>
  </cols>
  <sheetData>
    <row r="2" spans="2:27" x14ac:dyDescent="0.25">
      <c r="E2" s="183" t="s">
        <v>738</v>
      </c>
      <c r="F2" s="183" t="s">
        <v>739</v>
      </c>
      <c r="I2" s="183" t="s">
        <v>707</v>
      </c>
    </row>
    <row r="3" spans="2:27" ht="45" x14ac:dyDescent="0.25">
      <c r="B3" s="222" t="s">
        <v>85</v>
      </c>
      <c r="C3" s="275" t="s">
        <v>708</v>
      </c>
      <c r="D3" s="275"/>
      <c r="E3" s="276" t="s">
        <v>653</v>
      </c>
      <c r="F3" s="277"/>
      <c r="G3" s="183" t="s">
        <v>740</v>
      </c>
      <c r="I3" s="194" t="s">
        <v>512</v>
      </c>
      <c r="J3" s="194" t="s">
        <v>457</v>
      </c>
      <c r="K3" s="194" t="s">
        <v>653</v>
      </c>
      <c r="L3" s="256" t="s">
        <v>85</v>
      </c>
      <c r="M3" s="256" t="s">
        <v>512</v>
      </c>
      <c r="N3" s="256" t="s">
        <v>653</v>
      </c>
      <c r="O3" s="256" t="s">
        <v>741</v>
      </c>
      <c r="P3" s="256" t="s">
        <v>742</v>
      </c>
      <c r="Q3" s="256" t="s">
        <v>743</v>
      </c>
      <c r="R3" s="256" t="s">
        <v>744</v>
      </c>
      <c r="S3" s="256" t="s">
        <v>745</v>
      </c>
      <c r="T3" s="256" t="s">
        <v>746</v>
      </c>
      <c r="Z3" s="27"/>
    </row>
    <row r="4" spans="2:27" x14ac:dyDescent="0.25">
      <c r="B4" s="278" t="s">
        <v>709</v>
      </c>
      <c r="C4" s="279">
        <f>I4</f>
        <v>18809</v>
      </c>
      <c r="D4" s="279">
        <f>I4*4</f>
        <v>75236</v>
      </c>
      <c r="E4" s="280">
        <f>K4</f>
        <v>474932.66603090899</v>
      </c>
      <c r="F4" s="280">
        <f>K4*4</f>
        <v>1899730.664123636</v>
      </c>
      <c r="I4" s="195">
        <f>'[1]Program Tables'!O67/1000</f>
        <v>18809</v>
      </c>
      <c r="J4" s="196">
        <f>'[1]8.0 - Programs Summary'!C16</f>
        <v>5965922.5667786244</v>
      </c>
      <c r="K4" s="197">
        <f>'[1]Program Tables'!O71</f>
        <v>474932.66603090899</v>
      </c>
      <c r="L4" s="24" t="s">
        <v>76</v>
      </c>
      <c r="M4" s="257">
        <f>'Tables for Chapter 4'!B21</f>
        <v>18809</v>
      </c>
      <c r="N4" s="257">
        <f>'Tables for Chapter 4'!N7</f>
        <v>474932.66603090899</v>
      </c>
      <c r="O4" s="257">
        <v>75236</v>
      </c>
      <c r="P4" s="257">
        <f>N4*4</f>
        <v>1899730.664123636</v>
      </c>
      <c r="Q4" s="258">
        <f>P4/O4</f>
        <v>25.250287948902599</v>
      </c>
      <c r="R4" s="264">
        <v>1</v>
      </c>
      <c r="S4" s="264"/>
      <c r="T4" s="264"/>
      <c r="Z4" s="265"/>
      <c r="AA4" s="149"/>
    </row>
    <row r="5" spans="2:27" x14ac:dyDescent="0.25">
      <c r="B5" s="278"/>
      <c r="C5" s="279"/>
      <c r="D5" s="279"/>
      <c r="E5" s="280"/>
      <c r="F5" s="280"/>
      <c r="I5" s="195"/>
      <c r="J5" s="196"/>
      <c r="K5" s="197"/>
      <c r="L5" s="24" t="s">
        <v>691</v>
      </c>
      <c r="M5" s="257">
        <f>'Tables for Chapter 4'!B22</f>
        <v>17121.427749999999</v>
      </c>
      <c r="N5" s="257">
        <f>'Tables for Chapter 4'!M7+'Tables for Chapter 4'!L7</f>
        <v>432320.98078383156</v>
      </c>
      <c r="O5" s="257">
        <v>68485.710999999996</v>
      </c>
      <c r="P5" s="257">
        <f t="shared" ref="P5:P14" si="0">N5*4</f>
        <v>1729283.9231353262</v>
      </c>
      <c r="Q5" s="258">
        <f t="shared" ref="Q5:Q15" si="1">P5/O5</f>
        <v>25.250287948902603</v>
      </c>
      <c r="R5" s="264">
        <v>1</v>
      </c>
      <c r="S5" s="264"/>
      <c r="T5" s="264"/>
      <c r="Z5" s="265"/>
      <c r="AA5" s="149"/>
    </row>
    <row r="6" spans="2:27" x14ac:dyDescent="0.25">
      <c r="B6" s="278"/>
      <c r="C6" s="279"/>
      <c r="D6" s="279"/>
      <c r="E6" s="280"/>
      <c r="F6" s="280"/>
      <c r="I6" s="195"/>
      <c r="J6" s="196"/>
      <c r="K6" s="197"/>
      <c r="L6" s="24" t="s">
        <v>646</v>
      </c>
      <c r="M6" s="257">
        <f>'Tables for Chapter 4'!B23</f>
        <v>4356</v>
      </c>
      <c r="N6" s="257">
        <v>0</v>
      </c>
      <c r="O6" s="257">
        <v>17424</v>
      </c>
      <c r="P6" s="257">
        <f t="shared" si="0"/>
        <v>0</v>
      </c>
      <c r="Q6" s="258">
        <f t="shared" si="1"/>
        <v>0</v>
      </c>
      <c r="R6" s="264"/>
      <c r="S6" s="264">
        <v>1</v>
      </c>
      <c r="T6" s="264"/>
      <c r="Z6" s="265"/>
      <c r="AA6" s="149"/>
    </row>
    <row r="7" spans="2:27" x14ac:dyDescent="0.25">
      <c r="B7" s="278"/>
      <c r="C7" s="279"/>
      <c r="D7" s="279"/>
      <c r="E7" s="280"/>
      <c r="F7" s="280"/>
      <c r="I7" s="195"/>
      <c r="J7" s="196"/>
      <c r="K7" s="197"/>
      <c r="L7" s="24" t="s">
        <v>718</v>
      </c>
      <c r="M7" s="257">
        <f>'Tables for Chapter 4'!B24</f>
        <v>1670.0434999999998</v>
      </c>
      <c r="N7" s="257">
        <f>'Tables for Chapter 4'!P7+'Tables for Chapter 4'!Q7+'Tables for Chapter 4'!R7+'Tables for Chapter 4'!S7+'Tables for Chapter 4'!T7+'Tables for Chapter 4'!U7</f>
        <v>17930.558467644976</v>
      </c>
      <c r="O7" s="257">
        <f>SUM(D19:D42)</f>
        <v>6680.1739999999991</v>
      </c>
      <c r="P7" s="257">
        <f t="shared" si="0"/>
        <v>71722.233870579905</v>
      </c>
      <c r="Q7" s="258">
        <f t="shared" si="1"/>
        <v>10.736581692419975</v>
      </c>
      <c r="R7" s="264">
        <v>1</v>
      </c>
      <c r="S7" s="264"/>
      <c r="T7" s="264"/>
      <c r="Z7" s="265"/>
      <c r="AA7" s="149"/>
    </row>
    <row r="8" spans="2:27" x14ac:dyDescent="0.25">
      <c r="B8" s="278" t="s">
        <v>710</v>
      </c>
      <c r="C8" s="279">
        <f>I8</f>
        <v>17121.427749999999</v>
      </c>
      <c r="D8" s="279">
        <f>I8*4</f>
        <v>68485.710999999996</v>
      </c>
      <c r="E8" s="280">
        <f>K8</f>
        <v>432320.98078383156</v>
      </c>
      <c r="F8" s="280">
        <f>K8*4</f>
        <v>1729283.9231353262</v>
      </c>
      <c r="I8" s="195">
        <f>('[1]Program Tables'!C67+'[1]Program Tables'!D67)/1000</f>
        <v>17121.427749999999</v>
      </c>
      <c r="J8" s="196">
        <f>'[1]8.0 - Programs Summary'!C14+'[1]8.0 - Programs Summary'!C15</f>
        <v>4960101.4176661074</v>
      </c>
      <c r="K8" s="197">
        <f>'[1]Program Tables'!C71+'[1]Program Tables'!D71</f>
        <v>432320.98078383156</v>
      </c>
      <c r="L8" s="24" t="s">
        <v>623</v>
      </c>
      <c r="M8" s="257">
        <f>'Tables for Chapter 4'!B25</f>
        <v>1600</v>
      </c>
      <c r="N8" s="257">
        <f>'Tables for Chapter 4'!V7</f>
        <v>40400.460718244154</v>
      </c>
      <c r="O8" s="257">
        <v>6400</v>
      </c>
      <c r="P8" s="257">
        <f t="shared" si="0"/>
        <v>161601.84287297662</v>
      </c>
      <c r="Q8" s="258">
        <f t="shared" si="1"/>
        <v>25.250287948902596</v>
      </c>
      <c r="R8" s="264">
        <v>1</v>
      </c>
      <c r="S8" s="264"/>
      <c r="T8" s="264"/>
      <c r="Z8" s="265"/>
    </row>
    <row r="9" spans="2:27" x14ac:dyDescent="0.25">
      <c r="B9" s="278"/>
      <c r="C9" s="279"/>
      <c r="D9" s="279"/>
      <c r="E9" s="280"/>
      <c r="F9" s="280"/>
      <c r="I9" s="195"/>
      <c r="J9" s="196"/>
      <c r="K9" s="197"/>
      <c r="L9" s="24" t="s">
        <v>536</v>
      </c>
      <c r="M9" s="257">
        <f>'Tables for Chapter 4'!B26</f>
        <v>1311.0229999999999</v>
      </c>
      <c r="N9" s="257">
        <f>'Tables for Chapter 4'!G7</f>
        <v>72164.497368799362</v>
      </c>
      <c r="O9" s="257">
        <v>5244.0919999999996</v>
      </c>
      <c r="P9" s="257">
        <f t="shared" si="0"/>
        <v>288657.98947519745</v>
      </c>
      <c r="Q9" s="258">
        <f t="shared" si="1"/>
        <v>55.044417503582601</v>
      </c>
      <c r="R9" s="24"/>
      <c r="S9" s="264">
        <v>0.28999999999999998</v>
      </c>
      <c r="T9" s="264">
        <v>0.71</v>
      </c>
      <c r="Z9" s="265"/>
    </row>
    <row r="10" spans="2:27" x14ac:dyDescent="0.25">
      <c r="B10" s="278"/>
      <c r="C10" s="279"/>
      <c r="D10" s="279"/>
      <c r="E10" s="280"/>
      <c r="F10" s="280"/>
      <c r="I10" s="195"/>
      <c r="J10" s="196"/>
      <c r="K10" s="197"/>
      <c r="L10" s="24" t="s">
        <v>459</v>
      </c>
      <c r="M10" s="257">
        <f>'Tables for Chapter 4'!B27</f>
        <v>2143.32854</v>
      </c>
      <c r="N10" s="263">
        <f>'Tables for Chapter 4'!B7+'Tables for Chapter 4'!C7+'Tables for Chapter 4'!D7+'Tables for Chapter 4'!E7+'Tables for Chapter 4'!F7</f>
        <v>41855.141331975232</v>
      </c>
      <c r="O10" s="263">
        <f>SUM(D53:D84)</f>
        <v>8573.3141599999999</v>
      </c>
      <c r="P10" s="263">
        <f t="shared" si="0"/>
        <v>167420.56532790093</v>
      </c>
      <c r="Q10" s="258">
        <f t="shared" si="1"/>
        <v>19.528103391921068</v>
      </c>
      <c r="R10" s="24"/>
      <c r="S10" s="264">
        <v>0.85</v>
      </c>
      <c r="T10" s="264">
        <v>0.15</v>
      </c>
      <c r="Z10" s="265"/>
    </row>
    <row r="11" spans="2:27" x14ac:dyDescent="0.25">
      <c r="B11" s="278" t="s">
        <v>711</v>
      </c>
      <c r="C11" s="279">
        <f>I11</f>
        <v>4356</v>
      </c>
      <c r="D11" s="279">
        <f>I11*4</f>
        <v>17424</v>
      </c>
      <c r="E11" s="281" t="s">
        <v>579</v>
      </c>
      <c r="F11" s="281" t="s">
        <v>579</v>
      </c>
      <c r="I11" s="195">
        <f>4356000/1000</f>
        <v>4356</v>
      </c>
      <c r="J11" s="196">
        <f>'[1]8.0 - Programs Summary'!C8</f>
        <v>861439.66142879799</v>
      </c>
      <c r="K11" s="197" t="s">
        <v>579</v>
      </c>
      <c r="L11" s="24" t="s">
        <v>685</v>
      </c>
      <c r="M11" s="257">
        <f>'Tables for Chapter 4'!B28</f>
        <v>789.74353204399995</v>
      </c>
      <c r="N11" s="263">
        <f>'Tables for Chapter 4'!K7</f>
        <v>399250.79729380447</v>
      </c>
      <c r="O11" s="263">
        <v>3158.9741281759998</v>
      </c>
      <c r="P11" s="263">
        <f t="shared" si="0"/>
        <v>1597003.1891752179</v>
      </c>
      <c r="Q11" s="258">
        <f t="shared" si="1"/>
        <v>505.54487766486767</v>
      </c>
      <c r="R11" s="24"/>
      <c r="S11" s="264">
        <v>0</v>
      </c>
      <c r="T11" s="264">
        <v>1</v>
      </c>
      <c r="Z11" s="265"/>
    </row>
    <row r="12" spans="2:27" x14ac:dyDescent="0.25">
      <c r="B12" s="278"/>
      <c r="C12" s="279"/>
      <c r="D12" s="279"/>
      <c r="E12" s="281"/>
      <c r="F12" s="281"/>
      <c r="I12" s="195"/>
      <c r="J12" s="196"/>
      <c r="K12" s="197"/>
      <c r="L12" s="24" t="s">
        <v>592</v>
      </c>
      <c r="M12" s="257">
        <f>'Tables for Chapter 4'!B29</f>
        <v>413.97567231814787</v>
      </c>
      <c r="N12" s="263">
        <f>'Tables for Chapter 4'!H7</f>
        <v>85519.009764770526</v>
      </c>
      <c r="O12" s="263">
        <v>1656</v>
      </c>
      <c r="P12" s="263">
        <f t="shared" si="0"/>
        <v>342076.0390590821</v>
      </c>
      <c r="Q12" s="258">
        <f t="shared" si="1"/>
        <v>206.56765643664377</v>
      </c>
      <c r="R12" s="24"/>
      <c r="S12" s="264">
        <v>0.85</v>
      </c>
      <c r="T12" s="264">
        <v>0.15</v>
      </c>
      <c r="Z12" s="265"/>
    </row>
    <row r="13" spans="2:27" x14ac:dyDescent="0.25">
      <c r="B13" s="278"/>
      <c r="C13" s="279"/>
      <c r="D13" s="279"/>
      <c r="E13" s="281"/>
      <c r="F13" s="281"/>
      <c r="I13" s="195"/>
      <c r="J13" s="196"/>
      <c r="K13" s="197"/>
      <c r="L13" s="24" t="s">
        <v>624</v>
      </c>
      <c r="M13" s="257">
        <f>'Tables for Chapter 4'!B30</f>
        <v>260</v>
      </c>
      <c r="N13" s="263">
        <v>0</v>
      </c>
      <c r="O13" s="263">
        <v>1040</v>
      </c>
      <c r="P13" s="263">
        <f t="shared" si="0"/>
        <v>0</v>
      </c>
      <c r="Q13" s="258">
        <f t="shared" si="1"/>
        <v>0</v>
      </c>
      <c r="R13" s="24"/>
      <c r="S13" s="264"/>
      <c r="T13" s="264"/>
      <c r="Z13" s="265"/>
    </row>
    <row r="14" spans="2:27" x14ac:dyDescent="0.25">
      <c r="B14" s="278"/>
      <c r="C14" s="279"/>
      <c r="D14" s="279"/>
      <c r="E14" s="281"/>
      <c r="F14" s="281"/>
      <c r="I14" s="195"/>
      <c r="J14" s="196"/>
      <c r="K14" s="197"/>
      <c r="L14" s="24" t="s">
        <v>684</v>
      </c>
      <c r="M14" s="257">
        <f>'Tables for Chapter 4'!B31</f>
        <v>4818</v>
      </c>
      <c r="N14" s="257">
        <v>0</v>
      </c>
      <c r="O14" s="257">
        <v>21200</v>
      </c>
      <c r="P14" s="257">
        <f t="shared" si="0"/>
        <v>0</v>
      </c>
      <c r="Q14" s="258">
        <f t="shared" si="1"/>
        <v>0</v>
      </c>
      <c r="R14" s="24"/>
      <c r="S14" s="264"/>
      <c r="T14" s="264"/>
      <c r="Z14" s="265"/>
    </row>
    <row r="15" spans="2:27" x14ac:dyDescent="0.25">
      <c r="B15" s="278"/>
      <c r="C15" s="279"/>
      <c r="D15" s="279"/>
      <c r="E15" s="281"/>
      <c r="F15" s="281"/>
      <c r="I15" s="195"/>
      <c r="J15" s="196"/>
      <c r="K15" s="197"/>
      <c r="L15" s="24" t="s">
        <v>703</v>
      </c>
      <c r="M15" s="257">
        <f>SUM(M4:M14)</f>
        <v>53292.541994362153</v>
      </c>
      <c r="N15" s="257">
        <f>SUM(N4:N14)</f>
        <v>1564374.1117599793</v>
      </c>
      <c r="O15" s="257">
        <f>SUM(O4:O14)</f>
        <v>215098.26528817602</v>
      </c>
      <c r="P15" s="257">
        <f>SUM(P4:P13)</f>
        <v>6257496.4470399171</v>
      </c>
      <c r="Q15" s="258">
        <f t="shared" si="1"/>
        <v>29.091338503620619</v>
      </c>
      <c r="R15" s="24"/>
      <c r="S15" s="264"/>
      <c r="T15" s="264"/>
      <c r="Z15" s="265"/>
    </row>
    <row r="16" spans="2:27" x14ac:dyDescent="0.25">
      <c r="B16" s="278"/>
      <c r="C16" s="279"/>
      <c r="D16" s="279"/>
      <c r="E16" s="281"/>
      <c r="F16" s="281"/>
      <c r="I16" s="195"/>
      <c r="J16" s="196"/>
      <c r="K16" s="197"/>
      <c r="M16" s="262">
        <f>M15-'Tables for Chapter 4'!B32</f>
        <v>0</v>
      </c>
      <c r="N16" s="262">
        <f>'Tables for Chapter 4'!Z7-N15</f>
        <v>0</v>
      </c>
    </row>
    <row r="17" spans="2:23" x14ac:dyDescent="0.25">
      <c r="B17" s="278"/>
      <c r="C17" s="279"/>
      <c r="D17" s="279"/>
      <c r="E17" s="281"/>
      <c r="F17" s="281"/>
      <c r="I17" s="195"/>
      <c r="J17" s="196"/>
      <c r="K17" s="197"/>
      <c r="R17" s="2"/>
      <c r="S17" s="10"/>
    </row>
    <row r="18" spans="2:23" x14ac:dyDescent="0.25">
      <c r="B18" s="278"/>
      <c r="C18" s="279"/>
      <c r="D18" s="279"/>
      <c r="E18" s="281"/>
      <c r="F18" s="281"/>
      <c r="I18" s="195"/>
      <c r="J18" s="196"/>
      <c r="K18" s="197"/>
      <c r="R18" s="2"/>
      <c r="S18" s="10"/>
    </row>
    <row r="19" spans="2:23" x14ac:dyDescent="0.25">
      <c r="B19" s="278" t="s">
        <v>712</v>
      </c>
      <c r="C19" s="279">
        <f>I19</f>
        <v>160.5</v>
      </c>
      <c r="D19" s="279">
        <f>I19*4</f>
        <v>642</v>
      </c>
      <c r="E19" s="281">
        <f>K19</f>
        <v>0</v>
      </c>
      <c r="F19" s="281">
        <f>K19*4</f>
        <v>0</v>
      </c>
      <c r="I19" s="195">
        <f>'[1]Program Tables'!U67/1000</f>
        <v>160.5</v>
      </c>
      <c r="J19" s="196">
        <f>'[1]8.0 - Programs Summary'!C17</f>
        <v>73620.238188777657</v>
      </c>
      <c r="K19" s="197">
        <v>0</v>
      </c>
      <c r="L19" s="183" t="s">
        <v>742</v>
      </c>
      <c r="Q19" s="183" t="s">
        <v>688</v>
      </c>
      <c r="R19" s="2">
        <f>I67*4</f>
        <v>2255.4941600000002</v>
      </c>
      <c r="S19" s="10">
        <f>K67*4</f>
        <v>5758.0691940188372</v>
      </c>
      <c r="V19" s="183" t="s">
        <v>747</v>
      </c>
    </row>
    <row r="20" spans="2:23" x14ac:dyDescent="0.25">
      <c r="B20" s="278"/>
      <c r="C20" s="279"/>
      <c r="D20" s="279"/>
      <c r="E20" s="281"/>
      <c r="F20" s="281"/>
      <c r="I20" s="195"/>
      <c r="J20" s="196"/>
      <c r="K20" s="197"/>
      <c r="L20" s="256" t="s">
        <v>85</v>
      </c>
      <c r="M20" s="256" t="s">
        <v>742</v>
      </c>
      <c r="R20" s="2"/>
      <c r="S20" s="10"/>
      <c r="V20" s="256" t="s">
        <v>85</v>
      </c>
      <c r="W20" s="24" t="s">
        <v>743</v>
      </c>
    </row>
    <row r="21" spans="2:23" x14ac:dyDescent="0.25">
      <c r="B21" s="278"/>
      <c r="C21" s="279"/>
      <c r="D21" s="279"/>
      <c r="E21" s="281"/>
      <c r="F21" s="281"/>
      <c r="I21" s="195"/>
      <c r="J21" s="196"/>
      <c r="K21" s="197"/>
      <c r="L21" s="24" t="s">
        <v>76</v>
      </c>
      <c r="M21" s="259">
        <f>P4</f>
        <v>1899730.664123636</v>
      </c>
      <c r="R21" s="2"/>
      <c r="S21" s="10"/>
      <c r="V21" s="24" t="s">
        <v>685</v>
      </c>
      <c r="W21" s="258">
        <f>P11/O11</f>
        <v>505.54487766486767</v>
      </c>
    </row>
    <row r="22" spans="2:23" x14ac:dyDescent="0.25">
      <c r="B22" s="278" t="s">
        <v>693</v>
      </c>
      <c r="C22" s="279">
        <f>I22</f>
        <v>40.685000000000002</v>
      </c>
      <c r="D22" s="279">
        <f>I22*4</f>
        <v>162.74</v>
      </c>
      <c r="E22" s="281">
        <f>K22</f>
        <v>399.68376377668017</v>
      </c>
      <c r="F22" s="281">
        <f>K22*4</f>
        <v>1598.7350551067207</v>
      </c>
      <c r="I22" s="195">
        <f>'[1]Program Tables'!AA67/1000</f>
        <v>40.685000000000002</v>
      </c>
      <c r="J22" s="196">
        <f>'[1]8.0 - Programs Summary'!C20</f>
        <v>8834.5538585217073</v>
      </c>
      <c r="K22" s="197">
        <f>'[1]Program Tables'!AA71</f>
        <v>399.68376377668017</v>
      </c>
      <c r="L22" s="24" t="s">
        <v>691</v>
      </c>
      <c r="M22" s="259">
        <f>P5</f>
        <v>1729283.9231353262</v>
      </c>
      <c r="Q22" s="183" t="s">
        <v>689</v>
      </c>
      <c r="R22" s="2">
        <f>I75*4</f>
        <v>934.42</v>
      </c>
      <c r="S22" s="10">
        <f>K75*4</f>
        <v>2228.2924347434205</v>
      </c>
      <c r="V22" s="24" t="s">
        <v>592</v>
      </c>
      <c r="W22" s="258">
        <f>P12/O12</f>
        <v>206.56765643664377</v>
      </c>
    </row>
    <row r="23" spans="2:23" x14ac:dyDescent="0.25">
      <c r="B23" s="278"/>
      <c r="C23" s="279"/>
      <c r="D23" s="279"/>
      <c r="E23" s="281"/>
      <c r="F23" s="281"/>
      <c r="I23" s="195"/>
      <c r="J23" s="196"/>
      <c r="K23" s="197"/>
      <c r="L23" s="24" t="s">
        <v>685</v>
      </c>
      <c r="M23" s="259">
        <f>P11</f>
        <v>1597003.1891752179</v>
      </c>
      <c r="R23" s="2"/>
      <c r="S23" s="10"/>
      <c r="V23" s="24" t="s">
        <v>536</v>
      </c>
      <c r="W23" s="258">
        <f>P9/O9</f>
        <v>55.044417503582601</v>
      </c>
    </row>
    <row r="24" spans="2:23" x14ac:dyDescent="0.25">
      <c r="B24" s="278" t="s">
        <v>509</v>
      </c>
      <c r="C24" s="279">
        <f>I24</f>
        <v>773.8</v>
      </c>
      <c r="D24" s="279">
        <f>I24*4</f>
        <v>3095.2</v>
      </c>
      <c r="E24" s="281">
        <f>K24</f>
        <v>2166.4687038682941</v>
      </c>
      <c r="F24" s="281">
        <f>K24*4</f>
        <v>8665.8748154731766</v>
      </c>
      <c r="I24" s="195">
        <f>'[1]Program Tables'!C128/1000</f>
        <v>773.8</v>
      </c>
      <c r="J24" s="196">
        <f>'[1]8.0 - Programs Summary'!C18</f>
        <v>186202.3014914841</v>
      </c>
      <c r="K24" s="197">
        <f>'[1]Program Tables'!C132</f>
        <v>2166.4687038682941</v>
      </c>
      <c r="L24" s="24" t="s">
        <v>592</v>
      </c>
      <c r="M24" s="259">
        <f>P12</f>
        <v>342076.0390590821</v>
      </c>
      <c r="Q24" s="183" t="s">
        <v>690</v>
      </c>
      <c r="R24" s="2">
        <f>I82*4</f>
        <v>464.1</v>
      </c>
      <c r="S24" s="10">
        <f>K82*4</f>
        <v>0</v>
      </c>
      <c r="V24" s="24" t="s">
        <v>691</v>
      </c>
      <c r="W24" s="258">
        <f>P5/O5</f>
        <v>25.250287948902603</v>
      </c>
    </row>
    <row r="25" spans="2:23" x14ac:dyDescent="0.25">
      <c r="B25" s="278"/>
      <c r="C25" s="279"/>
      <c r="D25" s="279"/>
      <c r="E25" s="281"/>
      <c r="F25" s="281"/>
      <c r="I25" s="195"/>
      <c r="J25" s="196"/>
      <c r="K25" s="197"/>
      <c r="L25" s="24" t="s">
        <v>536</v>
      </c>
      <c r="M25" s="259">
        <f>P9</f>
        <v>288657.98947519745</v>
      </c>
      <c r="R25" s="2"/>
      <c r="S25" s="10"/>
      <c r="V25" s="24" t="s">
        <v>76</v>
      </c>
      <c r="W25" s="258">
        <f>P4/O4</f>
        <v>25.250287948902599</v>
      </c>
    </row>
    <row r="26" spans="2:23" x14ac:dyDescent="0.25">
      <c r="B26" s="278"/>
      <c r="C26" s="279"/>
      <c r="D26" s="279"/>
      <c r="E26" s="281"/>
      <c r="F26" s="281"/>
      <c r="I26" s="195"/>
      <c r="J26" s="196"/>
      <c r="K26" s="197"/>
      <c r="L26" s="24" t="s">
        <v>623</v>
      </c>
      <c r="M26" s="259">
        <f>P8</f>
        <v>161601.84287297662</v>
      </c>
      <c r="R26" s="2"/>
      <c r="S26" s="10"/>
      <c r="V26" s="24" t="s">
        <v>623</v>
      </c>
      <c r="W26" s="258">
        <f>P8/O8</f>
        <v>25.250287948902596</v>
      </c>
    </row>
    <row r="27" spans="2:23" x14ac:dyDescent="0.25">
      <c r="B27" s="278" t="s">
        <v>449</v>
      </c>
      <c r="C27" s="279">
        <f>I27</f>
        <v>412.5</v>
      </c>
      <c r="D27" s="279">
        <f>I27*4</f>
        <v>1650</v>
      </c>
      <c r="E27" s="281">
        <f>K27</f>
        <v>0</v>
      </c>
      <c r="F27" s="281">
        <f>K27*4</f>
        <v>0</v>
      </c>
      <c r="G27" s="2"/>
      <c r="I27" s="195">
        <f>'[1]Program Tables'!I128/1000</f>
        <v>412.5</v>
      </c>
      <c r="J27" s="196">
        <f>'[1]8.0 - Programs Summary'!C21</f>
        <v>53700.190383070178</v>
      </c>
      <c r="K27" s="197">
        <f>'[1]Program Tables'!I132</f>
        <v>0</v>
      </c>
      <c r="L27" s="24" t="s">
        <v>459</v>
      </c>
      <c r="M27" s="259">
        <f>P10</f>
        <v>167420.56532790093</v>
      </c>
      <c r="Q27" s="27" t="s">
        <v>618</v>
      </c>
      <c r="R27" s="184">
        <f>SUM(R17:R24)</f>
        <v>3654.0141600000002</v>
      </c>
      <c r="S27" s="185">
        <f>SUM(S17:S24)</f>
        <v>7986.3616287622572</v>
      </c>
      <c r="V27" s="24" t="s">
        <v>459</v>
      </c>
      <c r="W27" s="258">
        <f>P10/O10</f>
        <v>19.528103391921068</v>
      </c>
    </row>
    <row r="28" spans="2:23" x14ac:dyDescent="0.25">
      <c r="B28" s="278"/>
      <c r="C28" s="279"/>
      <c r="D28" s="279"/>
      <c r="E28" s="281"/>
      <c r="F28" s="281"/>
      <c r="G28" s="2"/>
      <c r="I28" s="195"/>
      <c r="J28" s="196"/>
      <c r="K28" s="197"/>
      <c r="L28" s="24" t="s">
        <v>718</v>
      </c>
      <c r="M28" s="259">
        <f>P7</f>
        <v>71722.233870579905</v>
      </c>
      <c r="Q28" s="27"/>
      <c r="R28" s="184"/>
      <c r="S28" s="185"/>
      <c r="V28" s="24" t="s">
        <v>718</v>
      </c>
      <c r="W28" s="258">
        <f>P7/O7</f>
        <v>10.736581692419975</v>
      </c>
    </row>
    <row r="29" spans="2:23" x14ac:dyDescent="0.25">
      <c r="B29" s="278"/>
      <c r="C29" s="279"/>
      <c r="D29" s="279"/>
      <c r="E29" s="281"/>
      <c r="F29" s="281"/>
      <c r="G29" s="2"/>
      <c r="I29" s="195"/>
      <c r="J29" s="196"/>
      <c r="K29" s="197"/>
      <c r="L29" s="24" t="s">
        <v>646</v>
      </c>
      <c r="M29" s="259">
        <f>P6</f>
        <v>0</v>
      </c>
      <c r="Q29" s="27"/>
      <c r="R29" s="184"/>
      <c r="S29" s="185"/>
      <c r="V29" s="24" t="s">
        <v>646</v>
      </c>
      <c r="W29" s="258">
        <f>P6/O6</f>
        <v>0</v>
      </c>
    </row>
    <row r="30" spans="2:23" x14ac:dyDescent="0.25">
      <c r="B30" s="278" t="s">
        <v>713</v>
      </c>
      <c r="C30" s="279">
        <f>I30</f>
        <v>70.814499999999995</v>
      </c>
      <c r="D30" s="279">
        <f>I30*4</f>
        <v>283.25799999999998</v>
      </c>
      <c r="E30" s="281">
        <f>K30</f>
        <v>0</v>
      </c>
      <c r="F30" s="281">
        <f>K30*4</f>
        <v>0</v>
      </c>
      <c r="I30" s="195">
        <f>'[1]8.0 - Programs Summary'!B22/1000</f>
        <v>70.814499999999995</v>
      </c>
      <c r="J30" s="196">
        <f>'[1]8.0 - Programs Summary'!C22</f>
        <v>11923.492305034266</v>
      </c>
      <c r="K30" s="197">
        <f>'[1]Program Tables'!O132</f>
        <v>0</v>
      </c>
      <c r="L30" s="24" t="s">
        <v>624</v>
      </c>
      <c r="M30" s="259">
        <f>P13</f>
        <v>0</v>
      </c>
      <c r="Q30" s="183" t="s">
        <v>592</v>
      </c>
      <c r="R30" s="2">
        <f>I94*4</f>
        <v>1655.9026892725915</v>
      </c>
      <c r="S30" s="10">
        <f>K94*4</f>
        <v>303937.93964156072</v>
      </c>
      <c r="V30" s="24" t="s">
        <v>624</v>
      </c>
      <c r="W30" s="258">
        <f>P13/O13</f>
        <v>0</v>
      </c>
    </row>
    <row r="31" spans="2:23" x14ac:dyDescent="0.25">
      <c r="B31" s="278"/>
      <c r="C31" s="279"/>
      <c r="D31" s="279"/>
      <c r="E31" s="281"/>
      <c r="F31" s="281"/>
      <c r="I31" s="195"/>
      <c r="J31" s="196"/>
      <c r="K31" s="197"/>
      <c r="L31" s="24" t="s">
        <v>684</v>
      </c>
      <c r="M31" s="259">
        <f>P14</f>
        <v>0</v>
      </c>
      <c r="R31" s="2"/>
      <c r="S31" s="10"/>
      <c r="V31" s="24" t="s">
        <v>684</v>
      </c>
      <c r="W31" s="258">
        <f>P14/O14</f>
        <v>0</v>
      </c>
    </row>
    <row r="32" spans="2:23" x14ac:dyDescent="0.25">
      <c r="B32" s="278"/>
      <c r="C32" s="279"/>
      <c r="D32" s="279"/>
      <c r="E32" s="281"/>
      <c r="F32" s="281"/>
      <c r="I32" s="195"/>
      <c r="J32" s="196"/>
      <c r="K32" s="197"/>
      <c r="M32" s="254">
        <f>SUM(M21:M31)-P15</f>
        <v>0</v>
      </c>
      <c r="R32" s="2"/>
      <c r="S32" s="10"/>
    </row>
    <row r="33" spans="2:30" x14ac:dyDescent="0.25">
      <c r="B33" s="278"/>
      <c r="C33" s="279"/>
      <c r="D33" s="279"/>
      <c r="E33" s="281"/>
      <c r="F33" s="281"/>
      <c r="I33" s="195"/>
      <c r="J33" s="196"/>
      <c r="K33" s="197"/>
      <c r="M33" s="248"/>
      <c r="R33" s="2"/>
      <c r="S33" s="10"/>
    </row>
    <row r="34" spans="2:30" x14ac:dyDescent="0.25">
      <c r="B34" s="278"/>
      <c r="C34" s="279"/>
      <c r="D34" s="279"/>
      <c r="E34" s="281"/>
      <c r="F34" s="281"/>
      <c r="I34" s="195"/>
      <c r="J34" s="196"/>
      <c r="K34" s="197"/>
      <c r="R34" s="2"/>
      <c r="S34" s="10"/>
    </row>
    <row r="35" spans="2:30" x14ac:dyDescent="0.25">
      <c r="B35" s="278" t="str">
        <f>'[1]Program Tables'!S126</f>
        <v>Food Services</v>
      </c>
      <c r="C35" s="279">
        <f>I35</f>
        <v>169.744</v>
      </c>
      <c r="D35" s="279">
        <f>I35*4</f>
        <v>678.976</v>
      </c>
      <c r="E35" s="281">
        <f>K35</f>
        <v>11307.206000000002</v>
      </c>
      <c r="F35" s="281">
        <f>K35*4</f>
        <v>45228.824000000008</v>
      </c>
      <c r="I35" s="195">
        <f>'[1]Program Tables'!U128/1000</f>
        <v>169.744</v>
      </c>
      <c r="J35" s="196">
        <f>'[1]8.0 - Programs Summary'!C23</f>
        <v>42246.638395992355</v>
      </c>
      <c r="K35" s="197">
        <f>'[1]Program Tables'!U132</f>
        <v>11307.206000000002</v>
      </c>
      <c r="Q35" s="183" t="s">
        <v>646</v>
      </c>
      <c r="R35" s="2">
        <f>I11*4</f>
        <v>17424</v>
      </c>
      <c r="S35" s="10" t="e">
        <f>K11*4</f>
        <v>#VALUE!</v>
      </c>
    </row>
    <row r="36" spans="2:30" x14ac:dyDescent="0.25">
      <c r="B36" s="278"/>
      <c r="C36" s="279"/>
      <c r="D36" s="279"/>
      <c r="E36" s="281"/>
      <c r="F36" s="281"/>
      <c r="I36" s="195"/>
      <c r="J36" s="196"/>
      <c r="K36" s="197"/>
      <c r="R36" s="2"/>
      <c r="S36" s="10"/>
    </row>
    <row r="37" spans="2:30" x14ac:dyDescent="0.25">
      <c r="B37" s="278"/>
      <c r="C37" s="279"/>
      <c r="D37" s="279"/>
      <c r="E37" s="281"/>
      <c r="F37" s="281"/>
      <c r="I37" s="195"/>
      <c r="J37" s="196"/>
      <c r="K37" s="197"/>
      <c r="R37" s="2"/>
      <c r="S37" s="10"/>
    </row>
    <row r="38" spans="2:30" x14ac:dyDescent="0.25">
      <c r="B38" s="278"/>
      <c r="C38" s="279"/>
      <c r="D38" s="279"/>
      <c r="E38" s="281"/>
      <c r="F38" s="281"/>
      <c r="I38" s="195"/>
      <c r="J38" s="196"/>
      <c r="K38" s="197"/>
      <c r="R38" s="2"/>
      <c r="S38" s="10"/>
      <c r="Y38" s="106"/>
      <c r="Z38" s="183" t="s">
        <v>510</v>
      </c>
      <c r="AA38" s="16"/>
      <c r="AB38" s="183" t="s">
        <v>748</v>
      </c>
      <c r="AC38" s="260"/>
      <c r="AD38" s="183" t="s">
        <v>75</v>
      </c>
    </row>
    <row r="39" spans="2:30" x14ac:dyDescent="0.25">
      <c r="B39" s="278"/>
      <c r="C39" s="279"/>
      <c r="D39" s="279"/>
      <c r="E39" s="281"/>
      <c r="F39" s="281"/>
      <c r="I39" s="195"/>
      <c r="J39" s="196"/>
      <c r="K39" s="197"/>
      <c r="R39" s="2"/>
      <c r="S39" s="10"/>
    </row>
    <row r="40" spans="2:30" x14ac:dyDescent="0.25">
      <c r="B40" s="278" t="s">
        <v>621</v>
      </c>
      <c r="C40" s="279">
        <f>I40</f>
        <v>42</v>
      </c>
      <c r="D40" s="279">
        <f>I40*4</f>
        <v>168</v>
      </c>
      <c r="E40" s="281">
        <f>K40</f>
        <v>4057.2000000000003</v>
      </c>
      <c r="F40" s="281">
        <f>K40*4</f>
        <v>16228.800000000001</v>
      </c>
      <c r="I40" s="195">
        <f>'[1]Program Tables'!AA128/1000</f>
        <v>42</v>
      </c>
      <c r="J40" s="196">
        <f>'[1]8.0 - Programs Summary'!C24</f>
        <v>10769.066863078167</v>
      </c>
      <c r="K40" s="197">
        <f>'[1]Program Tables'!AA132</f>
        <v>4057.2000000000003</v>
      </c>
      <c r="Q40" s="183" t="s">
        <v>536</v>
      </c>
      <c r="R40" s="2">
        <f>I46*4</f>
        <v>5244.0919999999996</v>
      </c>
      <c r="S40" s="10">
        <f>K46*4</f>
        <v>288657.98947519745</v>
      </c>
    </row>
    <row r="41" spans="2:30" x14ac:dyDescent="0.25">
      <c r="B41" s="278"/>
      <c r="C41" s="279"/>
      <c r="D41" s="279"/>
      <c r="E41" s="281"/>
      <c r="F41" s="281"/>
      <c r="I41" s="195"/>
      <c r="J41" s="196"/>
      <c r="K41" s="197"/>
      <c r="R41" s="2"/>
      <c r="S41" s="10"/>
    </row>
    <row r="42" spans="2:30" x14ac:dyDescent="0.25">
      <c r="B42" s="278"/>
      <c r="C42" s="279"/>
      <c r="D42" s="279"/>
      <c r="E42" s="281"/>
      <c r="F42" s="281"/>
      <c r="I42" s="195"/>
      <c r="J42" s="196"/>
      <c r="K42" s="197"/>
      <c r="R42" s="2"/>
      <c r="S42" s="10"/>
      <c r="V42" s="183" t="s">
        <v>749</v>
      </c>
    </row>
    <row r="43" spans="2:30" x14ac:dyDescent="0.25">
      <c r="B43" s="278" t="s">
        <v>623</v>
      </c>
      <c r="C43" s="279">
        <f>I43</f>
        <v>1600</v>
      </c>
      <c r="D43" s="279">
        <f>I43*4</f>
        <v>6400</v>
      </c>
      <c r="E43" s="281">
        <f>K43</f>
        <v>40400.460718244154</v>
      </c>
      <c r="F43" s="281">
        <f>K43*4</f>
        <v>161601.84287297662</v>
      </c>
      <c r="I43" s="195">
        <f>'[1]4.0 - Elec Program Summary'!B27/1000</f>
        <v>1600</v>
      </c>
      <c r="J43" s="196">
        <f>'[1]8.0 - Programs Summary'!C19</f>
        <v>495802.72425354994</v>
      </c>
      <c r="K43" s="197">
        <f>'[1]3.30 - AEM'!P4</f>
        <v>40400.460718244154</v>
      </c>
      <c r="Q43" s="183" t="s">
        <v>623</v>
      </c>
      <c r="R43" s="2">
        <f>I43*4</f>
        <v>6400</v>
      </c>
      <c r="S43" s="10">
        <f>K43*4</f>
        <v>161601.84287297662</v>
      </c>
    </row>
    <row r="44" spans="2:30" x14ac:dyDescent="0.25">
      <c r="B44" s="278"/>
      <c r="C44" s="279"/>
      <c r="D44" s="279"/>
      <c r="E44" s="281"/>
      <c r="F44" s="281"/>
      <c r="I44" s="195"/>
      <c r="J44" s="196"/>
      <c r="K44" s="197"/>
      <c r="R44" s="2"/>
      <c r="S44" s="10"/>
      <c r="V44" s="183" t="s">
        <v>134</v>
      </c>
      <c r="W44" s="183" t="s">
        <v>750</v>
      </c>
    </row>
    <row r="45" spans="2:30" x14ac:dyDescent="0.25">
      <c r="B45" s="278"/>
      <c r="C45" s="279"/>
      <c r="D45" s="279"/>
      <c r="E45" s="281"/>
      <c r="F45" s="281"/>
      <c r="I45" s="195"/>
      <c r="J45" s="196"/>
      <c r="K45" s="197"/>
      <c r="R45" s="2"/>
      <c r="S45" s="10"/>
      <c r="V45" s="183" t="s">
        <v>622</v>
      </c>
      <c r="W45" s="248">
        <f>P4+P5+P7+P8</f>
        <v>3862338.6640025186</v>
      </c>
    </row>
    <row r="46" spans="2:30" x14ac:dyDescent="0.25">
      <c r="B46" s="278" t="s">
        <v>536</v>
      </c>
      <c r="C46" s="279">
        <f>I46</f>
        <v>1311.0229999999999</v>
      </c>
      <c r="D46" s="279">
        <f>I46*4</f>
        <v>5244.0919999999996</v>
      </c>
      <c r="E46" s="281">
        <f>K46</f>
        <v>72164.497368799362</v>
      </c>
      <c r="F46" s="281">
        <f>K46*4</f>
        <v>288657.98947519745</v>
      </c>
      <c r="I46" s="195">
        <f>'[1]Program Tables'!I32/1000</f>
        <v>1311.0229999999999</v>
      </c>
      <c r="J46" s="196">
        <f>'[1]8.0 - Programs Summary'!C10</f>
        <v>803739.49336296204</v>
      </c>
      <c r="K46" s="197">
        <f>'[1]Program Tables'!I36</f>
        <v>72164.497368799362</v>
      </c>
      <c r="Q46" s="183" t="s">
        <v>624</v>
      </c>
      <c r="R46" s="2">
        <f>I101*4</f>
        <v>1040</v>
      </c>
      <c r="S46" s="10">
        <f>K101*4</f>
        <v>0</v>
      </c>
      <c r="V46" s="183" t="s">
        <v>75</v>
      </c>
      <c r="W46" s="248">
        <f>S9*P9+S10*P10+S12*P12</f>
        <v>516782.93067674281</v>
      </c>
    </row>
    <row r="47" spans="2:30" x14ac:dyDescent="0.25">
      <c r="B47" s="278"/>
      <c r="C47" s="279"/>
      <c r="D47" s="279"/>
      <c r="E47" s="281"/>
      <c r="F47" s="281"/>
      <c r="I47" s="195"/>
      <c r="J47" s="196"/>
      <c r="K47" s="197"/>
      <c r="R47" s="2"/>
      <c r="S47" s="10"/>
      <c r="V47" s="183" t="s">
        <v>510</v>
      </c>
      <c r="W47" s="248">
        <f>T9*P9+T10*P10+P11+T12*P12</f>
        <v>1878374.8523606553</v>
      </c>
    </row>
    <row r="48" spans="2:30" x14ac:dyDescent="0.25">
      <c r="B48" s="278"/>
      <c r="C48" s="279"/>
      <c r="D48" s="279"/>
      <c r="E48" s="281"/>
      <c r="F48" s="281"/>
      <c r="I48" s="195"/>
      <c r="J48" s="196"/>
      <c r="K48" s="197"/>
      <c r="R48" s="2"/>
      <c r="S48" s="10"/>
    </row>
    <row r="49" spans="2:19" x14ac:dyDescent="0.25">
      <c r="B49" s="278"/>
      <c r="C49" s="279"/>
      <c r="D49" s="279"/>
      <c r="E49" s="281"/>
      <c r="F49" s="281"/>
      <c r="I49" s="195"/>
      <c r="J49" s="196"/>
      <c r="K49" s="197"/>
      <c r="R49" s="2"/>
      <c r="S49" s="10"/>
    </row>
    <row r="50" spans="2:19" x14ac:dyDescent="0.25">
      <c r="B50" s="278"/>
      <c r="C50" s="279"/>
      <c r="D50" s="279"/>
      <c r="E50" s="281"/>
      <c r="F50" s="281"/>
      <c r="I50" s="195"/>
      <c r="J50" s="196"/>
      <c r="K50" s="197"/>
      <c r="R50" s="2"/>
      <c r="S50" s="10"/>
    </row>
    <row r="51" spans="2:19" x14ac:dyDescent="0.25">
      <c r="B51" s="278"/>
      <c r="C51" s="279"/>
      <c r="D51" s="279"/>
      <c r="E51" s="281"/>
      <c r="F51" s="281"/>
      <c r="I51" s="195"/>
      <c r="J51" s="196"/>
      <c r="K51" s="197"/>
      <c r="R51" s="2"/>
      <c r="S51" s="10"/>
    </row>
    <row r="52" spans="2:19" x14ac:dyDescent="0.25">
      <c r="B52" s="278"/>
      <c r="C52" s="279"/>
      <c r="D52" s="279"/>
      <c r="E52" s="281"/>
      <c r="F52" s="281"/>
      <c r="I52" s="195"/>
      <c r="J52" s="196"/>
      <c r="K52" s="197"/>
      <c r="R52" s="2"/>
      <c r="S52" s="10"/>
    </row>
    <row r="53" spans="2:19" x14ac:dyDescent="0.25">
      <c r="B53" s="282" t="s">
        <v>686</v>
      </c>
      <c r="C53" s="283">
        <f>I53</f>
        <v>1199.79</v>
      </c>
      <c r="D53" s="283">
        <f>I53*4</f>
        <v>4799.16</v>
      </c>
      <c r="E53" s="284">
        <f>K53</f>
        <v>28267.106623791169</v>
      </c>
      <c r="F53" s="284">
        <f>K53*4</f>
        <v>113068.42649516468</v>
      </c>
      <c r="I53" s="195">
        <f>'[1]Program Tables'!I3/1000</f>
        <v>1199.79</v>
      </c>
      <c r="J53" s="196">
        <f>'[1]Program Tables'!I6</f>
        <v>471018.37387286272</v>
      </c>
      <c r="K53" s="197">
        <f>'[1]Program Tables'!I7</f>
        <v>28267.106623791169</v>
      </c>
      <c r="Q53" s="183" t="s">
        <v>691</v>
      </c>
      <c r="R53" s="2">
        <f>I8*4</f>
        <v>68485.710999999996</v>
      </c>
      <c r="S53" s="10">
        <f>K8*4</f>
        <v>1729283.9231353262</v>
      </c>
    </row>
    <row r="54" spans="2:19" x14ac:dyDescent="0.25">
      <c r="B54" s="282"/>
      <c r="C54" s="283"/>
      <c r="D54" s="283"/>
      <c r="E54" s="284"/>
      <c r="F54" s="284"/>
      <c r="I54" s="195"/>
      <c r="J54" s="196"/>
      <c r="K54" s="197"/>
      <c r="R54" s="2"/>
      <c r="S54" s="10"/>
    </row>
    <row r="55" spans="2:19" x14ac:dyDescent="0.25">
      <c r="B55" s="282"/>
      <c r="C55" s="283"/>
      <c r="D55" s="283"/>
      <c r="E55" s="284"/>
      <c r="F55" s="284"/>
      <c r="I55" s="195"/>
      <c r="J55" s="196"/>
      <c r="K55" s="197"/>
      <c r="R55" s="2"/>
      <c r="S55" s="10"/>
    </row>
    <row r="56" spans="2:19" x14ac:dyDescent="0.25">
      <c r="B56" s="282"/>
      <c r="C56" s="283"/>
      <c r="D56" s="283"/>
      <c r="E56" s="284"/>
      <c r="F56" s="284"/>
      <c r="I56" s="195"/>
      <c r="J56" s="196"/>
      <c r="K56" s="197"/>
      <c r="R56" s="2"/>
      <c r="S56" s="10"/>
    </row>
    <row r="57" spans="2:19" x14ac:dyDescent="0.25">
      <c r="B57" s="282"/>
      <c r="C57" s="283"/>
      <c r="D57" s="283"/>
      <c r="E57" s="284"/>
      <c r="F57" s="284"/>
      <c r="I57" s="195"/>
      <c r="J57" s="196"/>
      <c r="K57" s="197"/>
      <c r="R57" s="2"/>
      <c r="S57" s="10"/>
    </row>
    <row r="58" spans="2:19" x14ac:dyDescent="0.25">
      <c r="B58" s="282"/>
      <c r="C58" s="283"/>
      <c r="D58" s="283"/>
      <c r="E58" s="284"/>
      <c r="F58" s="284"/>
      <c r="I58" s="195"/>
      <c r="J58" s="196"/>
      <c r="K58" s="197"/>
      <c r="R58" s="2"/>
      <c r="S58" s="10"/>
    </row>
    <row r="59" spans="2:19" x14ac:dyDescent="0.25">
      <c r="B59" s="282"/>
      <c r="C59" s="283"/>
      <c r="D59" s="283"/>
      <c r="E59" s="284"/>
      <c r="F59" s="284"/>
      <c r="I59" s="195"/>
      <c r="J59" s="196"/>
      <c r="K59" s="197"/>
      <c r="R59" s="2"/>
      <c r="S59" s="10"/>
    </row>
    <row r="60" spans="2:19" x14ac:dyDescent="0.25">
      <c r="B60" s="282"/>
      <c r="C60" s="283"/>
      <c r="D60" s="283"/>
      <c r="E60" s="284"/>
      <c r="F60" s="284"/>
      <c r="I60" s="195"/>
      <c r="J60" s="196"/>
      <c r="K60" s="197"/>
      <c r="R60" s="2"/>
      <c r="S60" s="10"/>
    </row>
    <row r="61" spans="2:19" x14ac:dyDescent="0.25">
      <c r="B61" s="282" t="s">
        <v>687</v>
      </c>
      <c r="C61" s="283">
        <f>I61</f>
        <v>30.035</v>
      </c>
      <c r="D61" s="283">
        <f>I61*4</f>
        <v>120.14</v>
      </c>
      <c r="E61" s="284">
        <f>K61</f>
        <v>0</v>
      </c>
      <c r="F61" s="284">
        <f>K61*4</f>
        <v>0</v>
      </c>
      <c r="I61" s="195">
        <f>'[1]Program Tables'!O3/1000</f>
        <v>30.035</v>
      </c>
      <c r="J61" s="196">
        <f>'[1]Program Tables'!O6</f>
        <v>14874.039058953063</v>
      </c>
      <c r="K61" s="197">
        <f>'[1]Program Tables'!O7</f>
        <v>0</v>
      </c>
      <c r="Q61" s="183" t="s">
        <v>76</v>
      </c>
      <c r="R61" s="2">
        <f>I4*4</f>
        <v>75236</v>
      </c>
      <c r="S61" s="10">
        <f>K4*4</f>
        <v>1899730.664123636</v>
      </c>
    </row>
    <row r="62" spans="2:19" x14ac:dyDescent="0.25">
      <c r="B62" s="282"/>
      <c r="C62" s="283"/>
      <c r="D62" s="283"/>
      <c r="E62" s="284"/>
      <c r="F62" s="284"/>
      <c r="I62" s="195"/>
      <c r="J62" s="196"/>
      <c r="K62" s="197"/>
      <c r="R62" s="2"/>
      <c r="S62" s="10"/>
    </row>
    <row r="63" spans="2:19" x14ac:dyDescent="0.25">
      <c r="B63" s="282"/>
      <c r="C63" s="283"/>
      <c r="D63" s="283"/>
      <c r="E63" s="284"/>
      <c r="F63" s="284"/>
      <c r="I63" s="195"/>
      <c r="J63" s="196"/>
      <c r="K63" s="197"/>
      <c r="R63" s="2"/>
      <c r="S63" s="10"/>
    </row>
    <row r="64" spans="2:19" x14ac:dyDescent="0.25">
      <c r="B64" s="282"/>
      <c r="C64" s="283"/>
      <c r="D64" s="283"/>
      <c r="E64" s="284"/>
      <c r="F64" s="284"/>
      <c r="I64" s="195"/>
      <c r="J64" s="196"/>
      <c r="K64" s="197"/>
      <c r="R64" s="2"/>
      <c r="S64" s="10"/>
    </row>
    <row r="65" spans="2:19" x14ac:dyDescent="0.25">
      <c r="B65" s="282"/>
      <c r="C65" s="283"/>
      <c r="D65" s="283"/>
      <c r="E65" s="284"/>
      <c r="F65" s="284"/>
      <c r="I65" s="195"/>
      <c r="J65" s="196"/>
      <c r="K65" s="197"/>
      <c r="R65" s="2"/>
      <c r="S65" s="10"/>
    </row>
    <row r="66" spans="2:19" x14ac:dyDescent="0.25">
      <c r="B66" s="282"/>
      <c r="C66" s="283"/>
      <c r="D66" s="283"/>
      <c r="E66" s="284"/>
      <c r="F66" s="284"/>
      <c r="I66" s="195"/>
      <c r="J66" s="196"/>
      <c r="K66" s="197"/>
      <c r="R66" s="2"/>
      <c r="S66" s="10"/>
    </row>
    <row r="67" spans="2:19" x14ac:dyDescent="0.25">
      <c r="B67" s="282" t="s">
        <v>688</v>
      </c>
      <c r="C67" s="283">
        <f>I67</f>
        <v>563.87354000000005</v>
      </c>
      <c r="D67" s="283">
        <f>I67*4</f>
        <v>2255.4941600000002</v>
      </c>
      <c r="E67" s="284">
        <f>K67</f>
        <v>1439.5172985047093</v>
      </c>
      <c r="F67" s="284">
        <f>K67*4</f>
        <v>5758.0691940188372</v>
      </c>
      <c r="I67" s="195">
        <f>'[1]Sector Tables'!B9/1000</f>
        <v>563.87354000000005</v>
      </c>
      <c r="J67" s="196">
        <f>'[1]Program Tables'!U6</f>
        <v>273760.74654283701</v>
      </c>
      <c r="K67" s="197">
        <f>'[1]Program Tables'!U7</f>
        <v>1439.5172985047093</v>
      </c>
      <c r="Q67" s="183" t="s">
        <v>692</v>
      </c>
      <c r="R67" s="2">
        <f>I19*4</f>
        <v>642</v>
      </c>
      <c r="S67" s="10">
        <v>0</v>
      </c>
    </row>
    <row r="68" spans="2:19" x14ac:dyDescent="0.25">
      <c r="B68" s="282"/>
      <c r="C68" s="283"/>
      <c r="D68" s="283"/>
      <c r="E68" s="284"/>
      <c r="F68" s="284"/>
      <c r="I68" s="195"/>
      <c r="J68" s="196"/>
      <c r="K68" s="197"/>
      <c r="R68" s="2"/>
      <c r="S68" s="10"/>
    </row>
    <row r="69" spans="2:19" x14ac:dyDescent="0.25">
      <c r="B69" s="282"/>
      <c r="C69" s="283"/>
      <c r="D69" s="283"/>
      <c r="E69" s="284"/>
      <c r="F69" s="284"/>
      <c r="I69" s="195"/>
      <c r="J69" s="196"/>
      <c r="K69" s="197"/>
      <c r="R69" s="2"/>
      <c r="S69" s="10"/>
    </row>
    <row r="70" spans="2:19" x14ac:dyDescent="0.25">
      <c r="B70" s="282"/>
      <c r="C70" s="283"/>
      <c r="D70" s="283"/>
      <c r="E70" s="284"/>
      <c r="F70" s="284"/>
      <c r="I70" s="195"/>
      <c r="J70" s="196"/>
      <c r="K70" s="197"/>
      <c r="R70" s="2"/>
      <c r="S70" s="10"/>
    </row>
    <row r="71" spans="2:19" x14ac:dyDescent="0.25">
      <c r="B71" s="282"/>
      <c r="C71" s="283"/>
      <c r="D71" s="283"/>
      <c r="E71" s="284"/>
      <c r="F71" s="284"/>
      <c r="I71" s="195"/>
      <c r="J71" s="196"/>
      <c r="K71" s="197"/>
      <c r="R71" s="2"/>
      <c r="S71" s="10"/>
    </row>
    <row r="72" spans="2:19" x14ac:dyDescent="0.25">
      <c r="B72" s="282"/>
      <c r="C72" s="283"/>
      <c r="D72" s="283"/>
      <c r="E72" s="284"/>
      <c r="F72" s="284"/>
      <c r="I72" s="195"/>
      <c r="J72" s="196"/>
      <c r="K72" s="197"/>
      <c r="R72" s="2"/>
      <c r="S72" s="10"/>
    </row>
    <row r="73" spans="2:19" x14ac:dyDescent="0.25">
      <c r="B73" s="282"/>
      <c r="C73" s="283"/>
      <c r="D73" s="283"/>
      <c r="E73" s="284"/>
      <c r="F73" s="284"/>
      <c r="I73" s="195"/>
      <c r="J73" s="196"/>
      <c r="K73" s="197"/>
      <c r="R73" s="2"/>
      <c r="S73" s="10"/>
    </row>
    <row r="74" spans="2:19" x14ac:dyDescent="0.25">
      <c r="B74" s="282"/>
      <c r="C74" s="283"/>
      <c r="D74" s="283"/>
      <c r="E74" s="284"/>
      <c r="F74" s="284"/>
      <c r="I74" s="195"/>
      <c r="J74" s="196"/>
      <c r="K74" s="197"/>
      <c r="R74" s="2"/>
      <c r="S74" s="10"/>
    </row>
    <row r="75" spans="2:19" x14ac:dyDescent="0.25">
      <c r="B75" s="282" t="s">
        <v>706</v>
      </c>
      <c r="C75" s="283">
        <f>I75</f>
        <v>233.60499999999999</v>
      </c>
      <c r="D75" s="283">
        <f>I75*4</f>
        <v>934.42</v>
      </c>
      <c r="E75" s="284">
        <f>K75</f>
        <v>557.07310868585512</v>
      </c>
      <c r="F75" s="284">
        <f>K75*4</f>
        <v>2228.2924347434205</v>
      </c>
      <c r="I75" s="195">
        <f>'[1]Program Tables'!AA3/1000</f>
        <v>233.60499999999999</v>
      </c>
      <c r="J75" s="196">
        <f>'[1]Program Tables'!AA6</f>
        <v>112753.35369562778</v>
      </c>
      <c r="K75" s="197">
        <f>'[1]Program Tables'!AA7</f>
        <v>557.07310868585512</v>
      </c>
      <c r="Q75" s="183" t="s">
        <v>693</v>
      </c>
      <c r="R75" s="2">
        <f>I22*4</f>
        <v>162.74</v>
      </c>
      <c r="S75" s="10">
        <f>K22*4</f>
        <v>1598.7350551067207</v>
      </c>
    </row>
    <row r="76" spans="2:19" x14ac:dyDescent="0.25">
      <c r="B76" s="282"/>
      <c r="C76" s="283"/>
      <c r="D76" s="283"/>
      <c r="E76" s="284"/>
      <c r="F76" s="284"/>
      <c r="I76" s="195"/>
      <c r="J76" s="196"/>
      <c r="K76" s="197"/>
      <c r="R76" s="2"/>
      <c r="S76" s="10"/>
    </row>
    <row r="77" spans="2:19" x14ac:dyDescent="0.25">
      <c r="B77" s="282"/>
      <c r="C77" s="283"/>
      <c r="D77" s="283"/>
      <c r="E77" s="284"/>
      <c r="F77" s="284"/>
      <c r="I77" s="195"/>
      <c r="J77" s="196"/>
      <c r="K77" s="197"/>
      <c r="R77" s="2"/>
      <c r="S77" s="10"/>
    </row>
    <row r="78" spans="2:19" x14ac:dyDescent="0.25">
      <c r="B78" s="282"/>
      <c r="C78" s="283"/>
      <c r="D78" s="283"/>
      <c r="E78" s="284"/>
      <c r="F78" s="284"/>
      <c r="I78" s="195"/>
      <c r="J78" s="196"/>
      <c r="K78" s="197"/>
      <c r="R78" s="2"/>
      <c r="S78" s="10"/>
    </row>
    <row r="79" spans="2:19" x14ac:dyDescent="0.25">
      <c r="B79" s="282"/>
      <c r="C79" s="283"/>
      <c r="D79" s="283"/>
      <c r="E79" s="284"/>
      <c r="F79" s="284"/>
      <c r="I79" s="195"/>
      <c r="J79" s="196"/>
      <c r="K79" s="197"/>
      <c r="R79" s="2"/>
      <c r="S79" s="10"/>
    </row>
    <row r="80" spans="2:19" x14ac:dyDescent="0.25">
      <c r="B80" s="282"/>
      <c r="C80" s="283"/>
      <c r="D80" s="283"/>
      <c r="E80" s="284"/>
      <c r="F80" s="284"/>
      <c r="I80" s="195"/>
      <c r="J80" s="196"/>
      <c r="K80" s="197"/>
      <c r="R80" s="2"/>
      <c r="S80" s="10"/>
    </row>
    <row r="81" spans="2:19" x14ac:dyDescent="0.25">
      <c r="B81" s="282"/>
      <c r="C81" s="283"/>
      <c r="D81" s="283"/>
      <c r="E81" s="284"/>
      <c r="F81" s="284"/>
      <c r="I81" s="195"/>
      <c r="J81" s="196"/>
      <c r="K81" s="197"/>
      <c r="R81" s="2"/>
      <c r="S81" s="10"/>
    </row>
    <row r="82" spans="2:19" x14ac:dyDescent="0.25">
      <c r="B82" s="282" t="s">
        <v>690</v>
      </c>
      <c r="C82" s="283">
        <f>I82</f>
        <v>116.02500000000001</v>
      </c>
      <c r="D82" s="283">
        <f>I82*4</f>
        <v>464.1</v>
      </c>
      <c r="E82" s="284">
        <f>K82</f>
        <v>0</v>
      </c>
      <c r="F82" s="284">
        <f>K82*4</f>
        <v>0</v>
      </c>
      <c r="I82" s="195">
        <f>'[1]Program Tables'!C3/1000</f>
        <v>116.02500000000001</v>
      </c>
      <c r="J82" s="196">
        <f>'[1]Program Tables'!C6</f>
        <v>52859.72227759524</v>
      </c>
      <c r="K82" s="197">
        <f>'[1]Program Tables'!C7</f>
        <v>0</v>
      </c>
      <c r="Q82" s="183" t="s">
        <v>509</v>
      </c>
      <c r="R82" s="2">
        <f>I24*4</f>
        <v>3095.2</v>
      </c>
      <c r="S82" s="10">
        <f>K24*4</f>
        <v>8665.8748154731766</v>
      </c>
    </row>
    <row r="83" spans="2:19" x14ac:dyDescent="0.25">
      <c r="B83" s="282"/>
      <c r="C83" s="283"/>
      <c r="D83" s="283"/>
      <c r="E83" s="284"/>
      <c r="F83" s="284"/>
      <c r="I83" s="195"/>
      <c r="J83" s="196"/>
      <c r="K83" s="197"/>
      <c r="R83" s="2"/>
      <c r="S83" s="10"/>
    </row>
    <row r="84" spans="2:19" x14ac:dyDescent="0.25">
      <c r="B84" s="282"/>
      <c r="C84" s="283"/>
      <c r="D84" s="283"/>
      <c r="E84" s="284"/>
      <c r="F84" s="284"/>
      <c r="I84" s="195"/>
      <c r="J84" s="196"/>
      <c r="K84" s="197"/>
      <c r="R84" s="2"/>
      <c r="S84" s="10"/>
    </row>
    <row r="85" spans="2:19" x14ac:dyDescent="0.25">
      <c r="B85" s="278" t="s">
        <v>685</v>
      </c>
      <c r="C85" s="279">
        <f>I85</f>
        <v>789.74353204399995</v>
      </c>
      <c r="D85" s="279">
        <f>I85*4</f>
        <v>3158.9741281759998</v>
      </c>
      <c r="E85" s="281">
        <f>K85</f>
        <v>399305.79729380447</v>
      </c>
      <c r="F85" s="281">
        <f>K85*4</f>
        <v>1597223.1891752179</v>
      </c>
      <c r="I85" s="195">
        <f>'[1]Program Tables'!U31/1000</f>
        <v>789.74353204399995</v>
      </c>
      <c r="J85" s="196">
        <f>'[1]8.0 - Programs Summary'!C4</f>
        <v>2085404.4457350676</v>
      </c>
      <c r="K85" s="197">
        <f>'[1]Program Tables'!U35</f>
        <v>399305.79729380447</v>
      </c>
      <c r="Q85" s="183" t="s">
        <v>449</v>
      </c>
      <c r="R85" s="2">
        <f>I27*4</f>
        <v>1650</v>
      </c>
      <c r="S85" s="10">
        <f>K27*4</f>
        <v>0</v>
      </c>
    </row>
    <row r="86" spans="2:19" x14ac:dyDescent="0.25">
      <c r="B86" s="278"/>
      <c r="C86" s="279"/>
      <c r="D86" s="279"/>
      <c r="E86" s="281"/>
      <c r="F86" s="281"/>
      <c r="I86" s="195"/>
      <c r="J86" s="196"/>
      <c r="K86" s="197"/>
      <c r="R86" s="2"/>
      <c r="S86" s="10"/>
    </row>
    <row r="87" spans="2:19" x14ac:dyDescent="0.25">
      <c r="B87" s="278"/>
      <c r="C87" s="279"/>
      <c r="D87" s="279"/>
      <c r="E87" s="281"/>
      <c r="F87" s="281"/>
      <c r="I87" s="195"/>
      <c r="J87" s="196"/>
      <c r="K87" s="197"/>
      <c r="R87" s="2"/>
      <c r="S87" s="10"/>
    </row>
    <row r="88" spans="2:19" x14ac:dyDescent="0.25">
      <c r="B88" s="278"/>
      <c r="C88" s="279"/>
      <c r="D88" s="279"/>
      <c r="E88" s="281"/>
      <c r="F88" s="281"/>
      <c r="I88" s="195"/>
      <c r="J88" s="196"/>
      <c r="K88" s="197"/>
      <c r="R88" s="2"/>
      <c r="S88" s="10"/>
    </row>
    <row r="89" spans="2:19" x14ac:dyDescent="0.25">
      <c r="B89" s="278"/>
      <c r="C89" s="279"/>
      <c r="D89" s="279"/>
      <c r="E89" s="281"/>
      <c r="F89" s="281"/>
      <c r="I89" s="195"/>
      <c r="J89" s="196"/>
      <c r="K89" s="197"/>
      <c r="R89" s="2"/>
      <c r="S89" s="10"/>
    </row>
    <row r="90" spans="2:19" x14ac:dyDescent="0.25">
      <c r="B90" s="278"/>
      <c r="C90" s="279"/>
      <c r="D90" s="279"/>
      <c r="E90" s="281"/>
      <c r="F90" s="281"/>
      <c r="I90" s="195"/>
      <c r="J90" s="196"/>
      <c r="K90" s="197"/>
      <c r="R90" s="2"/>
      <c r="S90" s="10"/>
    </row>
    <row r="91" spans="2:19" x14ac:dyDescent="0.25">
      <c r="B91" s="278"/>
      <c r="C91" s="279"/>
      <c r="D91" s="279"/>
      <c r="E91" s="281"/>
      <c r="F91" s="281"/>
      <c r="I91" s="195"/>
      <c r="J91" s="196"/>
      <c r="K91" s="197"/>
      <c r="R91" s="2"/>
      <c r="S91" s="10"/>
    </row>
    <row r="92" spans="2:19" x14ac:dyDescent="0.25">
      <c r="B92" s="278"/>
      <c r="C92" s="279"/>
      <c r="D92" s="279"/>
      <c r="E92" s="281"/>
      <c r="F92" s="281"/>
      <c r="I92" s="195"/>
      <c r="J92" s="196"/>
      <c r="K92" s="197"/>
      <c r="R92" s="2"/>
      <c r="S92" s="10"/>
    </row>
    <row r="93" spans="2:19" x14ac:dyDescent="0.25">
      <c r="B93" s="278"/>
      <c r="C93" s="279"/>
      <c r="D93" s="279"/>
      <c r="E93" s="281"/>
      <c r="F93" s="281"/>
      <c r="I93" s="195"/>
      <c r="J93" s="196"/>
      <c r="K93" s="197"/>
      <c r="R93" s="2"/>
      <c r="S93" s="10"/>
    </row>
    <row r="94" spans="2:19" x14ac:dyDescent="0.25">
      <c r="B94" s="278" t="s">
        <v>592</v>
      </c>
      <c r="C94" s="279">
        <f>I94</f>
        <v>413.97567231814787</v>
      </c>
      <c r="D94" s="279">
        <f>I94*4</f>
        <v>1655.9026892725915</v>
      </c>
      <c r="E94" s="281">
        <f>K94</f>
        <v>75984.48491039018</v>
      </c>
      <c r="F94" s="281">
        <f>K94*4</f>
        <v>303937.93964156072</v>
      </c>
      <c r="I94" s="195">
        <f>'[1]Sector Tables'!B10/1000</f>
        <v>413.97567231814787</v>
      </c>
      <c r="J94" s="196">
        <f>'[1]8.0 - Programs Summary'!C11</f>
        <v>169207.91896868579</v>
      </c>
      <c r="K94" s="197">
        <f>'[1]Program Tables'!AG7</f>
        <v>75984.48491039018</v>
      </c>
      <c r="Q94" s="183" t="s">
        <v>572</v>
      </c>
      <c r="R94" s="2">
        <f>I30*4</f>
        <v>283.25799999999998</v>
      </c>
      <c r="S94" s="10">
        <f>K30*4</f>
        <v>0</v>
      </c>
    </row>
    <row r="95" spans="2:19" x14ac:dyDescent="0.25">
      <c r="B95" s="278"/>
      <c r="C95" s="279"/>
      <c r="D95" s="279"/>
      <c r="E95" s="281"/>
      <c r="F95" s="281"/>
      <c r="I95" s="195"/>
      <c r="J95" s="196"/>
      <c r="K95" s="197"/>
      <c r="R95" s="2"/>
      <c r="S95" s="10"/>
    </row>
    <row r="96" spans="2:19" x14ac:dyDescent="0.25">
      <c r="B96" s="278"/>
      <c r="C96" s="279"/>
      <c r="D96" s="279"/>
      <c r="E96" s="281"/>
      <c r="F96" s="281"/>
      <c r="I96" s="195"/>
      <c r="J96" s="196"/>
      <c r="K96" s="197"/>
      <c r="R96" s="2"/>
      <c r="S96" s="10"/>
    </row>
    <row r="97" spans="2:19" x14ac:dyDescent="0.25">
      <c r="B97" s="278"/>
      <c r="C97" s="279"/>
      <c r="D97" s="279"/>
      <c r="E97" s="281"/>
      <c r="F97" s="281"/>
      <c r="I97" s="195"/>
      <c r="J97" s="196"/>
      <c r="K97" s="197"/>
      <c r="R97" s="2"/>
      <c r="S97" s="10"/>
    </row>
    <row r="98" spans="2:19" x14ac:dyDescent="0.25">
      <c r="B98" s="278"/>
      <c r="C98" s="279"/>
      <c r="D98" s="279"/>
      <c r="E98" s="281"/>
      <c r="F98" s="281"/>
      <c r="I98" s="195"/>
      <c r="J98" s="196"/>
      <c r="K98" s="197"/>
      <c r="R98" s="2"/>
      <c r="S98" s="10"/>
    </row>
    <row r="99" spans="2:19" x14ac:dyDescent="0.25">
      <c r="B99" s="278"/>
      <c r="C99" s="279"/>
      <c r="D99" s="279"/>
      <c r="E99" s="281"/>
      <c r="F99" s="281"/>
      <c r="I99" s="195"/>
      <c r="J99" s="196"/>
      <c r="K99" s="197"/>
      <c r="R99" s="2"/>
      <c r="S99" s="10"/>
    </row>
    <row r="100" spans="2:19" x14ac:dyDescent="0.25">
      <c r="B100" s="278"/>
      <c r="C100" s="279"/>
      <c r="D100" s="279"/>
      <c r="E100" s="281"/>
      <c r="F100" s="281"/>
      <c r="I100" s="195"/>
      <c r="J100" s="196"/>
      <c r="K100" s="197"/>
      <c r="R100" s="2"/>
      <c r="S100" s="10"/>
    </row>
    <row r="101" spans="2:19" x14ac:dyDescent="0.25">
      <c r="B101" s="278" t="s">
        <v>624</v>
      </c>
      <c r="C101" s="279">
        <f>I101</f>
        <v>260</v>
      </c>
      <c r="D101" s="279">
        <f>I101*4</f>
        <v>1040</v>
      </c>
      <c r="E101" s="281">
        <f>K101</f>
        <v>0</v>
      </c>
      <c r="F101" s="281">
        <f>K101*4</f>
        <v>0</v>
      </c>
      <c r="I101" s="195">
        <f>260000/1000</f>
        <v>260</v>
      </c>
      <c r="J101" s="196">
        <f>'[1]8.0 - Programs Summary'!C9</f>
        <v>279502.82643973542</v>
      </c>
      <c r="K101" s="197">
        <v>0</v>
      </c>
      <c r="Q101" s="183" t="s">
        <v>508</v>
      </c>
      <c r="R101" s="2">
        <f>I35*4</f>
        <v>678.976</v>
      </c>
      <c r="S101" s="10">
        <f>K35*4</f>
        <v>45228.824000000008</v>
      </c>
    </row>
    <row r="102" spans="2:19" x14ac:dyDescent="0.25">
      <c r="B102" s="278"/>
      <c r="C102" s="279"/>
      <c r="D102" s="279"/>
      <c r="E102" s="281"/>
      <c r="F102" s="281"/>
      <c r="I102" s="195"/>
      <c r="J102" s="196"/>
      <c r="K102" s="197"/>
      <c r="R102" s="2"/>
      <c r="S102" s="10"/>
    </row>
    <row r="103" spans="2:19" x14ac:dyDescent="0.25">
      <c r="B103" s="278"/>
      <c r="C103" s="279"/>
      <c r="D103" s="279"/>
      <c r="E103" s="281"/>
      <c r="F103" s="281"/>
      <c r="I103" s="195"/>
      <c r="J103" s="196"/>
      <c r="K103" s="197"/>
      <c r="R103" s="2"/>
      <c r="S103" s="10"/>
    </row>
    <row r="104" spans="2:19" x14ac:dyDescent="0.25">
      <c r="B104" s="278"/>
      <c r="C104" s="279"/>
      <c r="D104" s="279"/>
      <c r="E104" s="281"/>
      <c r="F104" s="281"/>
      <c r="I104" s="195"/>
      <c r="J104" s="196"/>
      <c r="K104" s="197"/>
      <c r="R104" s="2"/>
      <c r="S104" s="10"/>
    </row>
    <row r="105" spans="2:19" x14ac:dyDescent="0.25">
      <c r="B105" s="278"/>
      <c r="C105" s="279"/>
      <c r="D105" s="279"/>
      <c r="E105" s="281"/>
      <c r="F105" s="281"/>
      <c r="I105" s="195"/>
      <c r="J105" s="196"/>
      <c r="K105" s="197"/>
      <c r="R105" s="2"/>
      <c r="S105" s="10"/>
    </row>
    <row r="106" spans="2:19" x14ac:dyDescent="0.25">
      <c r="B106" s="278"/>
      <c r="C106" s="279"/>
      <c r="D106" s="279"/>
      <c r="E106" s="281"/>
      <c r="F106" s="281"/>
      <c r="I106" s="195"/>
      <c r="J106" s="196"/>
      <c r="K106" s="197"/>
      <c r="R106" s="2"/>
      <c r="S106" s="10"/>
    </row>
    <row r="107" spans="2:19" x14ac:dyDescent="0.25">
      <c r="B107" s="278"/>
      <c r="C107" s="279"/>
      <c r="D107" s="279"/>
      <c r="E107" s="281"/>
      <c r="F107" s="281"/>
      <c r="I107" s="195"/>
      <c r="J107" s="196"/>
      <c r="K107" s="197"/>
      <c r="R107" s="2"/>
      <c r="S107" s="10"/>
    </row>
    <row r="108" spans="2:19" x14ac:dyDescent="0.25">
      <c r="B108" s="278" t="s">
        <v>684</v>
      </c>
      <c r="C108" s="279">
        <f>I108</f>
        <v>4818</v>
      </c>
      <c r="D108" s="279">
        <f>(I108*2)+(5782*2)</f>
        <v>21200</v>
      </c>
      <c r="E108" s="281">
        <f>K108</f>
        <v>0</v>
      </c>
      <c r="F108" s="281">
        <f>K108*4</f>
        <v>0</v>
      </c>
      <c r="I108" s="195">
        <f>4818000/1000</f>
        <v>4818</v>
      </c>
      <c r="J108" s="196">
        <f>'[1]8.0 - Programs Summary'!C33</f>
        <v>1358000</v>
      </c>
      <c r="K108" s="197">
        <v>0</v>
      </c>
      <c r="Q108" s="183" t="s">
        <v>621</v>
      </c>
      <c r="R108" s="2">
        <f>I40*4</f>
        <v>168</v>
      </c>
      <c r="S108" s="10">
        <f>K40*4</f>
        <v>16228.800000000001</v>
      </c>
    </row>
    <row r="109" spans="2:19" x14ac:dyDescent="0.25">
      <c r="B109" s="278"/>
      <c r="C109" s="279"/>
      <c r="D109" s="279"/>
      <c r="E109" s="281"/>
      <c r="F109" s="281"/>
      <c r="I109" s="195"/>
      <c r="J109" s="196"/>
      <c r="K109" s="197"/>
      <c r="R109" s="2"/>
      <c r="S109" s="10"/>
    </row>
    <row r="110" spans="2:19" x14ac:dyDescent="0.25">
      <c r="B110" s="278" t="s">
        <v>705</v>
      </c>
      <c r="C110" s="279" t="str">
        <f>I110</f>
        <v>TBD</v>
      </c>
      <c r="D110" s="279" t="s">
        <v>579</v>
      </c>
      <c r="E110" s="281" t="s">
        <v>24</v>
      </c>
      <c r="F110" s="281" t="s">
        <v>24</v>
      </c>
      <c r="I110" s="195" t="s">
        <v>579</v>
      </c>
      <c r="J110" s="196">
        <f>'[1]8.0 - Programs Summary'!C35</f>
        <v>2000000</v>
      </c>
      <c r="K110" s="197" t="s">
        <v>579</v>
      </c>
      <c r="R110" s="2"/>
      <c r="S110" s="10"/>
    </row>
    <row r="111" spans="2:19" x14ac:dyDescent="0.25">
      <c r="B111" s="278"/>
      <c r="C111" s="279"/>
      <c r="D111" s="279"/>
      <c r="E111" s="281"/>
      <c r="F111" s="281"/>
      <c r="I111" s="195"/>
      <c r="J111" s="196"/>
      <c r="K111" s="197"/>
      <c r="R111" s="2"/>
      <c r="S111" s="10"/>
    </row>
    <row r="112" spans="2:19" x14ac:dyDescent="0.25">
      <c r="B112" s="278"/>
      <c r="C112" s="279"/>
      <c r="D112" s="279"/>
      <c r="E112" s="281"/>
      <c r="F112" s="281"/>
      <c r="I112" s="195"/>
      <c r="J112" s="196"/>
      <c r="K112" s="197"/>
      <c r="R112" s="2"/>
      <c r="S112" s="10"/>
    </row>
    <row r="113" spans="2:19" x14ac:dyDescent="0.25">
      <c r="B113" s="278"/>
      <c r="C113" s="279"/>
      <c r="D113" s="279"/>
      <c r="E113" s="281"/>
      <c r="F113" s="281"/>
      <c r="I113" s="195"/>
      <c r="J113" s="196"/>
      <c r="K113" s="197"/>
      <c r="R113" s="2"/>
      <c r="S113" s="10"/>
    </row>
    <row r="114" spans="2:19" x14ac:dyDescent="0.25">
      <c r="B114" s="278"/>
      <c r="C114" s="279"/>
      <c r="D114" s="279"/>
      <c r="E114" s="281"/>
      <c r="F114" s="281"/>
      <c r="I114" s="195"/>
      <c r="J114" s="196"/>
      <c r="K114" s="197"/>
      <c r="R114" s="2"/>
      <c r="S114" s="10"/>
    </row>
    <row r="115" spans="2:19" x14ac:dyDescent="0.25">
      <c r="B115" s="278"/>
      <c r="C115" s="279"/>
      <c r="D115" s="279"/>
      <c r="E115" s="281"/>
      <c r="F115" s="281"/>
      <c r="I115" s="195"/>
      <c r="J115" s="196"/>
      <c r="K115" s="197"/>
      <c r="R115" s="2"/>
      <c r="S115" s="10"/>
    </row>
    <row r="116" spans="2:19" x14ac:dyDescent="0.25">
      <c r="B116" s="278"/>
      <c r="C116" s="279"/>
      <c r="D116" s="279"/>
      <c r="E116" s="281"/>
      <c r="F116" s="281"/>
      <c r="I116" s="195"/>
      <c r="J116" s="196"/>
      <c r="K116" s="197"/>
      <c r="R116" s="2"/>
      <c r="S116" s="10"/>
    </row>
    <row r="117" spans="2:19" x14ac:dyDescent="0.25">
      <c r="B117" s="201" t="s">
        <v>593</v>
      </c>
      <c r="C117" s="202">
        <f>I117</f>
        <v>0</v>
      </c>
      <c r="D117" s="195">
        <f>I117*4</f>
        <v>0</v>
      </c>
      <c r="E117" s="203">
        <f>K117</f>
        <v>0</v>
      </c>
      <c r="F117" s="203">
        <f>K117*4</f>
        <v>0</v>
      </c>
      <c r="I117" s="195">
        <v>0</v>
      </c>
      <c r="J117" s="196">
        <f>'[1]8.0 - Programs Summary'!C36</f>
        <v>1000000</v>
      </c>
      <c r="K117" s="197">
        <v>0</v>
      </c>
      <c r="R117" s="2"/>
      <c r="S117" s="10"/>
    </row>
    <row r="118" spans="2:19" x14ac:dyDescent="0.25">
      <c r="B118" s="201" t="s">
        <v>704</v>
      </c>
      <c r="C118" s="202">
        <f>I118</f>
        <v>0</v>
      </c>
      <c r="D118" s="195">
        <f>I118*4</f>
        <v>0</v>
      </c>
      <c r="E118" s="203" t="s">
        <v>24</v>
      </c>
      <c r="F118" s="203" t="s">
        <v>24</v>
      </c>
      <c r="I118" s="195">
        <v>0</v>
      </c>
      <c r="J118" s="196">
        <f>'[1]8.0 - Programs Summary'!C31</f>
        <v>390369.15</v>
      </c>
      <c r="K118" s="197" t="s">
        <v>24</v>
      </c>
      <c r="R118" s="2"/>
      <c r="S118" s="10"/>
    </row>
    <row r="119" spans="2:19" x14ac:dyDescent="0.25">
      <c r="B119" s="205" t="s">
        <v>703</v>
      </c>
      <c r="C119" s="206">
        <f>SUM(C4:C109)</f>
        <v>53292.54199436216</v>
      </c>
      <c r="D119" s="207">
        <f>SUM(D4:D118)</f>
        <v>215098.16797744864</v>
      </c>
      <c r="E119" s="208">
        <f>SUM(E4:E118)</f>
        <v>1543303.1426046055</v>
      </c>
      <c r="F119" s="208">
        <f>SUM(F4:F118)</f>
        <v>6173212.5704184221</v>
      </c>
      <c r="I119" s="198">
        <f>SUM(I4:I118)</f>
        <v>53292.54199436216</v>
      </c>
      <c r="J119" s="198">
        <f>SUM(J4:J118)</f>
        <v>21682052.921567366</v>
      </c>
      <c r="K119" s="199">
        <f>SUM(K4:K108)</f>
        <v>1543303.1426046055</v>
      </c>
      <c r="R119" s="2"/>
      <c r="S119" s="10"/>
    </row>
    <row r="120" spans="2:19" x14ac:dyDescent="0.25">
      <c r="D120" s="2"/>
      <c r="E120" s="2"/>
      <c r="O120" s="27"/>
      <c r="P120" s="184"/>
      <c r="Q120" s="185"/>
    </row>
    <row r="121" spans="2:19" x14ac:dyDescent="0.25">
      <c r="D121" s="2"/>
      <c r="E121" s="2"/>
      <c r="F121" s="209"/>
      <c r="O121" s="27"/>
      <c r="P121" s="184"/>
      <c r="Q121" s="185"/>
    </row>
    <row r="122" spans="2:19" x14ac:dyDescent="0.25">
      <c r="D122" s="2"/>
      <c r="E122" s="26"/>
    </row>
  </sheetData>
  <mergeCells count="112">
    <mergeCell ref="B94:B100"/>
    <mergeCell ref="C94:C100"/>
    <mergeCell ref="D94:D100"/>
    <mergeCell ref="E94:E100"/>
    <mergeCell ref="F94:F100"/>
    <mergeCell ref="B110:B116"/>
    <mergeCell ref="C110:C116"/>
    <mergeCell ref="D110:D116"/>
    <mergeCell ref="E110:E116"/>
    <mergeCell ref="F110:F116"/>
    <mergeCell ref="B101:B107"/>
    <mergeCell ref="C101:C107"/>
    <mergeCell ref="D101:D107"/>
    <mergeCell ref="E101:E107"/>
    <mergeCell ref="F101:F107"/>
    <mergeCell ref="B108:B109"/>
    <mergeCell ref="C108:C109"/>
    <mergeCell ref="D108:D109"/>
    <mergeCell ref="E108:E109"/>
    <mergeCell ref="F108:F109"/>
    <mergeCell ref="B82:B84"/>
    <mergeCell ref="C82:C84"/>
    <mergeCell ref="D82:D84"/>
    <mergeCell ref="E82:E84"/>
    <mergeCell ref="F82:F84"/>
    <mergeCell ref="B85:B93"/>
    <mergeCell ref="C85:C93"/>
    <mergeCell ref="D85:D93"/>
    <mergeCell ref="E85:E93"/>
    <mergeCell ref="F85:F93"/>
    <mergeCell ref="B67:B74"/>
    <mergeCell ref="C67:C74"/>
    <mergeCell ref="D67:D74"/>
    <mergeCell ref="E67:E74"/>
    <mergeCell ref="F67:F74"/>
    <mergeCell ref="B75:B81"/>
    <mergeCell ref="C75:C81"/>
    <mergeCell ref="D75:D81"/>
    <mergeCell ref="E75:E81"/>
    <mergeCell ref="F75:F81"/>
    <mergeCell ref="B53:B60"/>
    <mergeCell ref="C53:C60"/>
    <mergeCell ref="D53:D60"/>
    <mergeCell ref="E53:E60"/>
    <mergeCell ref="F53:F60"/>
    <mergeCell ref="B61:B66"/>
    <mergeCell ref="C61:C66"/>
    <mergeCell ref="D61:D66"/>
    <mergeCell ref="E61:E66"/>
    <mergeCell ref="F61:F66"/>
    <mergeCell ref="B43:B45"/>
    <mergeCell ref="C43:C45"/>
    <mergeCell ref="D43:D45"/>
    <mergeCell ref="E43:E45"/>
    <mergeCell ref="F43:F45"/>
    <mergeCell ref="B46:B52"/>
    <mergeCell ref="C46:C52"/>
    <mergeCell ref="D46:D52"/>
    <mergeCell ref="E46:E52"/>
    <mergeCell ref="F46:F52"/>
    <mergeCell ref="B35:B39"/>
    <mergeCell ref="C35:C39"/>
    <mergeCell ref="D35:D39"/>
    <mergeCell ref="E35:E39"/>
    <mergeCell ref="F35:F39"/>
    <mergeCell ref="B40:B42"/>
    <mergeCell ref="C40:C42"/>
    <mergeCell ref="D40:D42"/>
    <mergeCell ref="E40:E42"/>
    <mergeCell ref="F40:F42"/>
    <mergeCell ref="B27:B29"/>
    <mergeCell ref="C27:C29"/>
    <mergeCell ref="D27:D29"/>
    <mergeCell ref="E27:E29"/>
    <mergeCell ref="F27:F29"/>
    <mergeCell ref="B30:B34"/>
    <mergeCell ref="C30:C34"/>
    <mergeCell ref="D30:D34"/>
    <mergeCell ref="E30:E34"/>
    <mergeCell ref="F30:F34"/>
    <mergeCell ref="B22:B23"/>
    <mergeCell ref="C22:C23"/>
    <mergeCell ref="D22:D23"/>
    <mergeCell ref="E22:E23"/>
    <mergeCell ref="F22:F23"/>
    <mergeCell ref="B24:B26"/>
    <mergeCell ref="C24:C26"/>
    <mergeCell ref="D24:D26"/>
    <mergeCell ref="E24:E26"/>
    <mergeCell ref="F24:F26"/>
    <mergeCell ref="B11:B18"/>
    <mergeCell ref="C11:C18"/>
    <mergeCell ref="D11:D18"/>
    <mergeCell ref="E11:E18"/>
    <mergeCell ref="F11:F18"/>
    <mergeCell ref="B19:B21"/>
    <mergeCell ref="C19:C21"/>
    <mergeCell ref="D19:D21"/>
    <mergeCell ref="E19:E21"/>
    <mergeCell ref="F19:F21"/>
    <mergeCell ref="C3:D3"/>
    <mergeCell ref="E3:F3"/>
    <mergeCell ref="B4:B7"/>
    <mergeCell ref="C4:C7"/>
    <mergeCell ref="D4:D7"/>
    <mergeCell ref="E4:E7"/>
    <mergeCell ref="F4:F7"/>
    <mergeCell ref="B8:B10"/>
    <mergeCell ref="C8:C10"/>
    <mergeCell ref="D8:D10"/>
    <mergeCell ref="E8:E10"/>
    <mergeCell ref="F8:F1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D70"/>
  <sheetViews>
    <sheetView topLeftCell="A16" zoomScaleNormal="100" workbookViewId="0">
      <selection activeCell="E16" sqref="E16"/>
    </sheetView>
  </sheetViews>
  <sheetFormatPr defaultRowHeight="15" x14ac:dyDescent="0.25"/>
  <cols>
    <col min="1" max="1" width="33" bestFit="1" customWidth="1"/>
    <col min="2" max="6" width="9.140625" customWidth="1"/>
    <col min="7" max="7" width="9.140625" style="183" customWidth="1"/>
    <col min="8" max="9" width="9.140625" customWidth="1"/>
    <col min="10" max="11" width="9.140625" style="183" customWidth="1"/>
    <col min="12" max="23" width="9.140625" customWidth="1"/>
    <col min="24" max="25" width="9.140625" style="183" customWidth="1"/>
    <col min="26" max="26" width="9.5703125" style="183" bestFit="1" customWidth="1"/>
    <col min="27" max="27" width="11.7109375" bestFit="1" customWidth="1"/>
  </cols>
  <sheetData>
    <row r="1" spans="1:30" s="104" customFormat="1" ht="15.75" thickBot="1" x14ac:dyDescent="0.3">
      <c r="A1" s="172"/>
      <c r="B1" s="285" t="s">
        <v>459</v>
      </c>
      <c r="C1" s="285"/>
      <c r="D1" s="285"/>
      <c r="E1" s="285"/>
      <c r="F1" s="285"/>
      <c r="G1" s="244"/>
      <c r="J1" s="183"/>
      <c r="K1" s="183"/>
      <c r="O1" s="172"/>
      <c r="P1" s="183"/>
      <c r="U1" s="172"/>
      <c r="V1" s="183"/>
      <c r="W1" s="183"/>
      <c r="X1" s="183"/>
      <c r="Y1" s="183"/>
      <c r="Z1" s="183"/>
      <c r="AA1" s="183"/>
    </row>
    <row r="2" spans="1:30" s="104" customFormat="1" ht="33.75" x14ac:dyDescent="0.25">
      <c r="A2" s="250" t="s">
        <v>719</v>
      </c>
      <c r="B2" s="251" t="s">
        <v>719</v>
      </c>
      <c r="C2" s="251" t="s">
        <v>720</v>
      </c>
      <c r="D2" s="251" t="s">
        <v>721</v>
      </c>
      <c r="E2" s="251" t="s">
        <v>722</v>
      </c>
      <c r="F2" s="251" t="s">
        <v>723</v>
      </c>
      <c r="G2" s="252" t="s">
        <v>619</v>
      </c>
      <c r="H2" s="252" t="s">
        <v>724</v>
      </c>
      <c r="I2" s="252" t="s">
        <v>646</v>
      </c>
      <c r="J2" s="252" t="s">
        <v>647</v>
      </c>
      <c r="K2" s="252" t="s">
        <v>725</v>
      </c>
      <c r="L2" s="252" t="s">
        <v>678</v>
      </c>
      <c r="M2" s="252" t="s">
        <v>727</v>
      </c>
      <c r="N2" s="252" t="s">
        <v>76</v>
      </c>
      <c r="O2" s="252" t="s">
        <v>726</v>
      </c>
      <c r="P2" s="252" t="s">
        <v>463</v>
      </c>
      <c r="Q2" s="252" t="s">
        <v>728</v>
      </c>
      <c r="R2" s="252" t="s">
        <v>729</v>
      </c>
      <c r="S2" s="252" t="s">
        <v>572</v>
      </c>
      <c r="T2" s="252" t="s">
        <v>730</v>
      </c>
      <c r="U2" s="252" t="s">
        <v>621</v>
      </c>
      <c r="V2" s="252" t="s">
        <v>675</v>
      </c>
      <c r="W2" s="252" t="s">
        <v>456</v>
      </c>
      <c r="X2" s="252" t="s">
        <v>681</v>
      </c>
      <c r="Y2" s="252" t="s">
        <v>731</v>
      </c>
      <c r="Z2" s="253" t="s">
        <v>732</v>
      </c>
      <c r="AC2" s="150"/>
    </row>
    <row r="3" spans="1:30" s="104" customFormat="1" x14ac:dyDescent="0.25">
      <c r="A3" s="219" t="s">
        <v>599</v>
      </c>
      <c r="B3" s="151">
        <v>116025</v>
      </c>
      <c r="C3" s="151">
        <v>1199790</v>
      </c>
      <c r="D3" s="151">
        <v>30035</v>
      </c>
      <c r="E3" s="151">
        <v>563873.54</v>
      </c>
      <c r="F3" s="151">
        <v>233605</v>
      </c>
      <c r="G3" s="151">
        <v>1311023</v>
      </c>
      <c r="H3" s="151">
        <v>413975.67231814784</v>
      </c>
      <c r="I3" s="151">
        <v>4356000</v>
      </c>
      <c r="J3" s="151">
        <v>260000</v>
      </c>
      <c r="K3" s="151">
        <v>789743.53204399999</v>
      </c>
      <c r="L3" s="151">
        <v>9866089</v>
      </c>
      <c r="M3" s="151">
        <v>7255338.75</v>
      </c>
      <c r="N3" s="151">
        <v>18809000</v>
      </c>
      <c r="O3" s="151">
        <v>160500</v>
      </c>
      <c r="P3" s="151">
        <v>40685</v>
      </c>
      <c r="Q3" s="151">
        <v>773800</v>
      </c>
      <c r="R3" s="151">
        <v>412500</v>
      </c>
      <c r="S3" s="151">
        <v>70814.5</v>
      </c>
      <c r="T3" s="151">
        <v>169744</v>
      </c>
      <c r="U3" s="151">
        <v>42000</v>
      </c>
      <c r="V3" s="151">
        <v>1600000</v>
      </c>
      <c r="W3" s="151">
        <v>4818000</v>
      </c>
      <c r="X3" s="151" t="s">
        <v>579</v>
      </c>
      <c r="Y3" s="151" t="s">
        <v>579</v>
      </c>
      <c r="Z3" s="227">
        <f>SUM(B3:Y3)</f>
        <v>53292541.994362146</v>
      </c>
      <c r="AC3" s="152"/>
    </row>
    <row r="4" spans="1:30" s="104" customFormat="1" x14ac:dyDescent="0.25">
      <c r="A4" s="219" t="s">
        <v>569</v>
      </c>
      <c r="B4" s="157">
        <v>35000</v>
      </c>
      <c r="C4" s="157">
        <v>343750</v>
      </c>
      <c r="D4" s="157">
        <v>12500</v>
      </c>
      <c r="E4" s="157">
        <v>151354</v>
      </c>
      <c r="F4" s="157">
        <v>95000</v>
      </c>
      <c r="G4" s="157">
        <f>'2022 Elec Program Cost Summary'!L8</f>
        <v>706250</v>
      </c>
      <c r="H4" s="157">
        <f>'2022 Elec Program Cost Summary'!L9</f>
        <v>112275</v>
      </c>
      <c r="I4" s="157">
        <f>'2022 Elec Program Cost Summary'!L10</f>
        <v>726000</v>
      </c>
      <c r="J4" s="157">
        <f>'2022 Elec Program Cost Summary'!L11</f>
        <v>260000</v>
      </c>
      <c r="K4" s="157">
        <f>'2022 Elec Program Cost Summary'!L4</f>
        <v>1520091.8658796651</v>
      </c>
      <c r="L4" s="157">
        <f>'2022 Elec Program Cost Summary'!L14</f>
        <v>2119850</v>
      </c>
      <c r="M4" s="157">
        <f>'2022 Elec Program Cost Summary'!L15</f>
        <v>1655000</v>
      </c>
      <c r="N4" s="157">
        <f>'2022 Elec Program Cost Summary'!L16</f>
        <v>4326070</v>
      </c>
      <c r="O4" s="157">
        <f>'2022 Elec Program Cost Summary'!L17</f>
        <v>51750</v>
      </c>
      <c r="P4" s="157">
        <f>'2022 Elec Program Cost Summary'!L18</f>
        <v>4960</v>
      </c>
      <c r="Q4" s="157">
        <f>'2022 Elec Program Cost Summary'!L19</f>
        <v>120000</v>
      </c>
      <c r="R4" s="157">
        <f>'2022 Elec Program Cost Summary'!L20</f>
        <v>26025</v>
      </c>
      <c r="S4" s="157">
        <f>'2022 Elec Program Cost Summary'!L21</f>
        <v>6820</v>
      </c>
      <c r="T4" s="157">
        <f>'2022 Elec Program Cost Summary'!L22</f>
        <v>33426.400000000001</v>
      </c>
      <c r="U4" s="157">
        <f>'2022 Elec Program Cost Summary'!L23</f>
        <v>10080</v>
      </c>
      <c r="V4" s="157">
        <f>'2022 Elec Program Cost Summary'!L24</f>
        <v>0</v>
      </c>
      <c r="W4" s="157">
        <v>0</v>
      </c>
      <c r="X4" s="157">
        <f>'2022 Portfolio Summary'!C35</f>
        <v>2000000</v>
      </c>
      <c r="Y4" s="157">
        <f>'2022 Portfolio Summary'!C36+'2022 Portfolio Summary'!C31</f>
        <v>1390369.15</v>
      </c>
      <c r="Z4" s="228">
        <f>SUM(B4:Y4)</f>
        <v>15706571.415879667</v>
      </c>
      <c r="AA4" s="254"/>
      <c r="AC4" s="153"/>
    </row>
    <row r="5" spans="1:30" s="104" customFormat="1" ht="15" customHeight="1" x14ac:dyDescent="0.25">
      <c r="A5" s="220" t="s">
        <v>600</v>
      </c>
      <c r="B5" s="157">
        <v>17859.722277595236</v>
      </c>
      <c r="C5" s="157">
        <v>127268.37387286274</v>
      </c>
      <c r="D5" s="157">
        <v>2374.0390589530639</v>
      </c>
      <c r="E5" s="157">
        <v>122406.74654283703</v>
      </c>
      <c r="F5" s="157">
        <v>17753.353695627786</v>
      </c>
      <c r="G5" s="157">
        <f>'2022 Elec Program Cost Summary'!W8</f>
        <v>97489.493362961977</v>
      </c>
      <c r="H5" s="157">
        <f>'2022 Elec Program Cost Summary'!W9</f>
        <v>56932.918968685801</v>
      </c>
      <c r="I5" s="157">
        <f>'2022 Elec Program Cost Summary'!W10</f>
        <v>135439.66142879799</v>
      </c>
      <c r="J5" s="157">
        <f>'2022 Elec Program Cost Summary'!W11</f>
        <v>19502.826439735418</v>
      </c>
      <c r="K5" s="157">
        <f>'2022 Elec Program Cost Summary'!W5</f>
        <v>565312.57985540235</v>
      </c>
      <c r="L5" s="157">
        <f>'2022 Elec Program Cost Summary'!W14</f>
        <v>685409.38007742353</v>
      </c>
      <c r="M5" s="157">
        <f>'2022 Elec Program Cost Summary'!W15</f>
        <v>499842.03758868331</v>
      </c>
      <c r="N5" s="157">
        <f>'2022 Elec Program Cost Summary'!W16</f>
        <v>1639852.5667786242</v>
      </c>
      <c r="O5" s="157">
        <f>'2022 Elec Program Cost Summary'!W17</f>
        <v>21870.238188777661</v>
      </c>
      <c r="P5" s="157">
        <f>'2022 Elec Program Cost Summary'!W18</f>
        <v>3874.5538585217068</v>
      </c>
      <c r="Q5" s="157">
        <f>'2022 Elec Program Cost Summary'!W19</f>
        <v>66202.30149148409</v>
      </c>
      <c r="R5" s="157">
        <f>'2022 Elec Program Cost Summary'!W20</f>
        <v>27675.190383070181</v>
      </c>
      <c r="S5" s="157">
        <f>'2022 Elec Program Cost Summary'!W21</f>
        <v>5103.492305034265</v>
      </c>
      <c r="T5" s="157">
        <f>'2022 Elec Program Cost Summary'!W22</f>
        <v>8820.2383959923573</v>
      </c>
      <c r="U5" s="157">
        <f>'2022 Elec Program Cost Summary'!W23</f>
        <v>689.06686307816722</v>
      </c>
      <c r="V5" s="157">
        <f>'2022 Elec Program Cost Summary'!W24</f>
        <v>495802.72425354994</v>
      </c>
      <c r="W5" s="157">
        <f>'2022 Portfolio Summary'!C33</f>
        <v>1358000</v>
      </c>
      <c r="X5" s="157">
        <v>0</v>
      </c>
      <c r="Y5" s="157">
        <v>0</v>
      </c>
      <c r="Z5" s="228">
        <f>SUM(B5:Y5)</f>
        <v>5975481.5056876987</v>
      </c>
      <c r="AA5" s="254"/>
      <c r="AC5" s="153"/>
    </row>
    <row r="6" spans="1:30" s="104" customFormat="1" x14ac:dyDescent="0.25">
      <c r="A6" s="220" t="s">
        <v>601</v>
      </c>
      <c r="B6" s="249">
        <f t="shared" ref="B6:G6" si="0">SUM(B4:B5)</f>
        <v>52859.72227759524</v>
      </c>
      <c r="C6" s="249">
        <f t="shared" si="0"/>
        <v>471018.37387286272</v>
      </c>
      <c r="D6" s="249">
        <f t="shared" si="0"/>
        <v>14874.039058953063</v>
      </c>
      <c r="E6" s="249">
        <f t="shared" si="0"/>
        <v>273760.74654283701</v>
      </c>
      <c r="F6" s="249">
        <f t="shared" si="0"/>
        <v>112753.35369562778</v>
      </c>
      <c r="G6" s="249">
        <f t="shared" si="0"/>
        <v>803739.49336296204</v>
      </c>
      <c r="H6" s="249">
        <f t="shared" ref="H6" si="1">SUM(H4:H5)</f>
        <v>169207.91896868579</v>
      </c>
      <c r="I6" s="249">
        <f t="shared" ref="I6" si="2">SUM(I4:I5)</f>
        <v>861439.66142879799</v>
      </c>
      <c r="J6" s="249">
        <f t="shared" ref="J6:W6" si="3">SUM(J4:J5)</f>
        <v>279502.82643973542</v>
      </c>
      <c r="K6" s="157">
        <f t="shared" si="3"/>
        <v>2085404.4457350676</v>
      </c>
      <c r="L6" s="157">
        <f t="shared" si="3"/>
        <v>2805259.3800774235</v>
      </c>
      <c r="M6" s="157">
        <f t="shared" si="3"/>
        <v>2154842.0375886834</v>
      </c>
      <c r="N6" s="157">
        <f t="shared" si="3"/>
        <v>5965922.5667786244</v>
      </c>
      <c r="O6" s="157">
        <f t="shared" si="3"/>
        <v>73620.238188777657</v>
      </c>
      <c r="P6" s="157">
        <f t="shared" si="3"/>
        <v>8834.5538585217073</v>
      </c>
      <c r="Q6" s="157">
        <f t="shared" si="3"/>
        <v>186202.3014914841</v>
      </c>
      <c r="R6" s="157">
        <f t="shared" si="3"/>
        <v>53700.190383070178</v>
      </c>
      <c r="S6" s="157">
        <f t="shared" si="3"/>
        <v>11923.492305034266</v>
      </c>
      <c r="T6" s="157">
        <f t="shared" si="3"/>
        <v>42246.638395992355</v>
      </c>
      <c r="U6" s="157">
        <f t="shared" si="3"/>
        <v>10769.066863078167</v>
      </c>
      <c r="V6" s="157">
        <f t="shared" si="3"/>
        <v>495802.72425354994</v>
      </c>
      <c r="W6" s="157">
        <f t="shared" si="3"/>
        <v>1358000</v>
      </c>
      <c r="X6" s="157">
        <f>SUM(X4:X4)</f>
        <v>2000000</v>
      </c>
      <c r="Y6" s="157">
        <f>SUM(Y4:Y4)</f>
        <v>1390369.15</v>
      </c>
      <c r="Z6" s="228">
        <f>SUM(B6:Y6)</f>
        <v>21682052.921567366</v>
      </c>
      <c r="AA6" s="254">
        <f>Z6-'2022 Portfolio Summary'!C39</f>
        <v>0</v>
      </c>
      <c r="AB6" s="248"/>
      <c r="AC6" s="153"/>
    </row>
    <row r="7" spans="1:30" s="104" customFormat="1" x14ac:dyDescent="0.25">
      <c r="A7" s="220" t="s">
        <v>653</v>
      </c>
      <c r="B7" s="157">
        <v>0</v>
      </c>
      <c r="C7" s="157">
        <v>36943.071015344125</v>
      </c>
      <c r="D7" s="157">
        <v>2847.564013691549</v>
      </c>
      <c r="E7" s="157">
        <v>1507.433194253704</v>
      </c>
      <c r="F7" s="157">
        <v>557.07310868585512</v>
      </c>
      <c r="G7" s="157">
        <f>'NR NEI'!F132</f>
        <v>72164.497368799362</v>
      </c>
      <c r="H7" s="157">
        <f>'NR NEI'!F151</f>
        <v>85519.009764770526</v>
      </c>
      <c r="I7" s="157" t="s">
        <v>579</v>
      </c>
      <c r="J7" s="157" t="s">
        <v>579</v>
      </c>
      <c r="K7" s="157">
        <f>'NR NEI'!F169</f>
        <v>399250.79729380447</v>
      </c>
      <c r="L7" s="157">
        <f>'NR NEI'!F2</f>
        <v>249121.58817950051</v>
      </c>
      <c r="M7" s="157">
        <f>'NR NEI'!F24</f>
        <v>183199.39260433105</v>
      </c>
      <c r="N7" s="157">
        <f>'NR NEI'!F38</f>
        <v>474932.66603090899</v>
      </c>
      <c r="O7" s="157" t="s">
        <v>579</v>
      </c>
      <c r="P7" s="157">
        <f>'NR NEI'!F77</f>
        <v>399.68376377668017</v>
      </c>
      <c r="Q7" s="157">
        <f>'NR NEI'!F81</f>
        <v>2166.4687038682941</v>
      </c>
      <c r="R7" s="157">
        <v>0</v>
      </c>
      <c r="S7" s="157">
        <v>0</v>
      </c>
      <c r="T7" s="157">
        <f>'NR NEI'!F107</f>
        <v>11307.206000000002</v>
      </c>
      <c r="U7" s="157">
        <f>'NR NEI'!F108</f>
        <v>4057.2000000000003</v>
      </c>
      <c r="V7" s="157">
        <f>'NR NEI'!F109</f>
        <v>40400.460718244154</v>
      </c>
      <c r="W7" s="157">
        <v>0</v>
      </c>
      <c r="X7" s="157">
        <v>0</v>
      </c>
      <c r="Y7" s="157">
        <v>0</v>
      </c>
      <c r="Z7" s="228">
        <f>SUM(B7:Y7)</f>
        <v>1564374.1117599793</v>
      </c>
      <c r="AA7" s="254">
        <f>Z7-'NR NEI'!F174</f>
        <v>0</v>
      </c>
      <c r="AC7" s="153"/>
    </row>
    <row r="8" spans="1:30" s="104" customFormat="1" x14ac:dyDescent="0.25">
      <c r="A8" s="154"/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150"/>
      <c r="AB8" s="155"/>
      <c r="AC8" s="150"/>
      <c r="AD8" s="112"/>
    </row>
    <row r="9" spans="1:30" s="33" customFormat="1" ht="15.75" thickBot="1" x14ac:dyDescent="0.3">
      <c r="A9" s="158"/>
      <c r="B9" s="160"/>
      <c r="C9" s="159"/>
      <c r="D9" s="161"/>
      <c r="F9" s="158"/>
      <c r="G9" s="158"/>
      <c r="H9" s="159"/>
      <c r="I9" s="160"/>
      <c r="J9" s="160"/>
      <c r="K9" s="160"/>
      <c r="L9" s="159"/>
      <c r="M9" s="161"/>
      <c r="O9" s="158"/>
      <c r="P9" s="159"/>
      <c r="Q9" s="160"/>
      <c r="R9" s="159"/>
      <c r="S9" s="161"/>
      <c r="U9" s="158"/>
      <c r="V9" s="159"/>
      <c r="W9" s="160"/>
      <c r="X9" s="160"/>
      <c r="Y9" s="160"/>
      <c r="Z9" s="160"/>
      <c r="AA9" s="159"/>
      <c r="AB9" s="156"/>
      <c r="AC9" s="223"/>
      <c r="AD9" s="224"/>
    </row>
    <row r="10" spans="1:30" s="183" customFormat="1" ht="34.5" thickBot="1" x14ac:dyDescent="0.3">
      <c r="A10" s="174" t="s">
        <v>719</v>
      </c>
      <c r="B10" s="229" t="s">
        <v>719</v>
      </c>
      <c r="C10" s="229" t="s">
        <v>720</v>
      </c>
      <c r="D10" s="229" t="s">
        <v>721</v>
      </c>
      <c r="E10" s="229" t="s">
        <v>722</v>
      </c>
      <c r="F10" s="229" t="s">
        <v>723</v>
      </c>
      <c r="G10" s="177" t="s">
        <v>619</v>
      </c>
      <c r="H10" s="177" t="s">
        <v>724</v>
      </c>
      <c r="I10" s="177" t="s">
        <v>646</v>
      </c>
      <c r="J10" s="177" t="s">
        <v>647</v>
      </c>
      <c r="K10" s="177" t="s">
        <v>725</v>
      </c>
      <c r="L10" s="177" t="s">
        <v>678</v>
      </c>
      <c r="M10" s="177" t="s">
        <v>727</v>
      </c>
      <c r="N10" s="177" t="s">
        <v>76</v>
      </c>
      <c r="O10" s="177" t="s">
        <v>726</v>
      </c>
      <c r="P10" s="177" t="s">
        <v>463</v>
      </c>
      <c r="Q10" s="177" t="s">
        <v>728</v>
      </c>
      <c r="R10" s="177" t="s">
        <v>729</v>
      </c>
      <c r="S10" s="177" t="s">
        <v>572</v>
      </c>
      <c r="T10" s="177" t="s">
        <v>730</v>
      </c>
      <c r="U10" s="177" t="s">
        <v>621</v>
      </c>
      <c r="V10" s="177" t="s">
        <v>675</v>
      </c>
      <c r="W10" s="177" t="s">
        <v>456</v>
      </c>
      <c r="X10" s="177" t="s">
        <v>681</v>
      </c>
      <c r="Y10" s="177" t="s">
        <v>731</v>
      </c>
      <c r="Z10" s="226" t="s">
        <v>732</v>
      </c>
      <c r="AC10" s="150"/>
    </row>
    <row r="11" spans="1:30" s="183" customFormat="1" x14ac:dyDescent="0.25">
      <c r="A11" s="219" t="s">
        <v>599</v>
      </c>
      <c r="B11" s="151">
        <f>B3/1000</f>
        <v>116.02500000000001</v>
      </c>
      <c r="C11" s="151">
        <f t="shared" ref="C11:F11" si="4">C3/1000</f>
        <v>1199.79</v>
      </c>
      <c r="D11" s="151">
        <f t="shared" si="4"/>
        <v>30.035</v>
      </c>
      <c r="E11" s="151">
        <f t="shared" si="4"/>
        <v>563.87354000000005</v>
      </c>
      <c r="F11" s="151">
        <f t="shared" si="4"/>
        <v>233.60499999999999</v>
      </c>
      <c r="G11" s="151">
        <f t="shared" ref="G11:W11" si="5">G3/1000</f>
        <v>1311.0229999999999</v>
      </c>
      <c r="H11" s="151">
        <f t="shared" si="5"/>
        <v>413.97567231814787</v>
      </c>
      <c r="I11" s="151">
        <f t="shared" si="5"/>
        <v>4356</v>
      </c>
      <c r="J11" s="151">
        <f t="shared" si="5"/>
        <v>260</v>
      </c>
      <c r="K11" s="151">
        <f t="shared" si="5"/>
        <v>789.74353204399995</v>
      </c>
      <c r="L11" s="151">
        <f t="shared" si="5"/>
        <v>9866.0889999999999</v>
      </c>
      <c r="M11" s="151">
        <f t="shared" si="5"/>
        <v>7255.3387499999999</v>
      </c>
      <c r="N11" s="151">
        <f t="shared" si="5"/>
        <v>18809</v>
      </c>
      <c r="O11" s="151">
        <f t="shared" si="5"/>
        <v>160.5</v>
      </c>
      <c r="P11" s="151">
        <f t="shared" si="5"/>
        <v>40.685000000000002</v>
      </c>
      <c r="Q11" s="151">
        <f t="shared" si="5"/>
        <v>773.8</v>
      </c>
      <c r="R11" s="151">
        <f t="shared" si="5"/>
        <v>412.5</v>
      </c>
      <c r="S11" s="151">
        <f t="shared" si="5"/>
        <v>70.814499999999995</v>
      </c>
      <c r="T11" s="151">
        <f t="shared" si="5"/>
        <v>169.744</v>
      </c>
      <c r="U11" s="151">
        <f t="shared" si="5"/>
        <v>42</v>
      </c>
      <c r="V11" s="151">
        <f t="shared" si="5"/>
        <v>1600</v>
      </c>
      <c r="W11" s="151">
        <f t="shared" si="5"/>
        <v>4818</v>
      </c>
      <c r="X11" s="151"/>
      <c r="Y11" s="151"/>
      <c r="Z11" s="227">
        <f>SUM(B11:Y11)</f>
        <v>53292.541994362153</v>
      </c>
      <c r="AA11" s="183" t="s">
        <v>735</v>
      </c>
      <c r="AC11" s="152"/>
    </row>
    <row r="12" spans="1:30" s="183" customFormat="1" x14ac:dyDescent="0.25">
      <c r="A12" s="219" t="s">
        <v>569</v>
      </c>
      <c r="B12" s="245">
        <f>B4/1000000</f>
        <v>3.5000000000000003E-2</v>
      </c>
      <c r="C12" s="245">
        <f t="shared" ref="C12:F12" si="6">C4/1000000</f>
        <v>0.34375</v>
      </c>
      <c r="D12" s="245">
        <f t="shared" si="6"/>
        <v>1.2500000000000001E-2</v>
      </c>
      <c r="E12" s="245">
        <f t="shared" si="6"/>
        <v>0.15135399999999999</v>
      </c>
      <c r="F12" s="245">
        <f t="shared" si="6"/>
        <v>9.5000000000000001E-2</v>
      </c>
      <c r="G12" s="245">
        <f t="shared" ref="G12:W12" si="7">G4/1000000</f>
        <v>0.70625000000000004</v>
      </c>
      <c r="H12" s="245">
        <f t="shared" si="7"/>
        <v>0.112275</v>
      </c>
      <c r="I12" s="245">
        <f t="shared" si="7"/>
        <v>0.72599999999999998</v>
      </c>
      <c r="J12" s="245">
        <f t="shared" si="7"/>
        <v>0.26</v>
      </c>
      <c r="K12" s="245">
        <f t="shared" si="7"/>
        <v>1.5200918658796652</v>
      </c>
      <c r="L12" s="245">
        <f t="shared" si="7"/>
        <v>2.11985</v>
      </c>
      <c r="M12" s="245">
        <f t="shared" si="7"/>
        <v>1.655</v>
      </c>
      <c r="N12" s="245">
        <f t="shared" si="7"/>
        <v>4.3260699999999996</v>
      </c>
      <c r="O12" s="245">
        <f t="shared" si="7"/>
        <v>5.1749999999999997E-2</v>
      </c>
      <c r="P12" s="245">
        <f t="shared" si="7"/>
        <v>4.96E-3</v>
      </c>
      <c r="Q12" s="245">
        <f t="shared" si="7"/>
        <v>0.12</v>
      </c>
      <c r="R12" s="245">
        <f t="shared" si="7"/>
        <v>2.6025E-2</v>
      </c>
      <c r="S12" s="245">
        <f t="shared" si="7"/>
        <v>6.8199999999999997E-3</v>
      </c>
      <c r="T12" s="245">
        <f t="shared" si="7"/>
        <v>3.3426400000000002E-2</v>
      </c>
      <c r="U12" s="245">
        <f t="shared" si="7"/>
        <v>1.008E-2</v>
      </c>
      <c r="V12" s="245">
        <f t="shared" si="7"/>
        <v>0</v>
      </c>
      <c r="W12" s="245">
        <f t="shared" si="7"/>
        <v>0</v>
      </c>
      <c r="X12" s="245">
        <f t="shared" ref="X12:Y12" si="8">X4/1000000</f>
        <v>2</v>
      </c>
      <c r="Y12" s="245">
        <f t="shared" si="8"/>
        <v>1.3903691499999999</v>
      </c>
      <c r="Z12" s="246">
        <f>SUM(B12:Y12)</f>
        <v>15.706571415879663</v>
      </c>
      <c r="AA12" s="183" t="s">
        <v>734</v>
      </c>
      <c r="AC12" s="153"/>
    </row>
    <row r="13" spans="1:30" s="183" customFormat="1" ht="15" customHeight="1" x14ac:dyDescent="0.25">
      <c r="A13" s="220" t="s">
        <v>600</v>
      </c>
      <c r="B13" s="245">
        <f>B5/1000000</f>
        <v>1.7859722277595236E-2</v>
      </c>
      <c r="C13" s="245">
        <f t="shared" ref="C13:F13" si="9">C5/1000000</f>
        <v>0.12726837387286274</v>
      </c>
      <c r="D13" s="245">
        <f t="shared" si="9"/>
        <v>2.3740390589530639E-3</v>
      </c>
      <c r="E13" s="245">
        <f t="shared" si="9"/>
        <v>0.12240674654283704</v>
      </c>
      <c r="F13" s="245">
        <f t="shared" si="9"/>
        <v>1.7753353695627788E-2</v>
      </c>
      <c r="G13" s="245">
        <f t="shared" ref="G13:W13" si="10">G5/1000000</f>
        <v>9.7489493362961976E-2</v>
      </c>
      <c r="H13" s="245">
        <f t="shared" si="10"/>
        <v>5.6932918968685804E-2</v>
      </c>
      <c r="I13" s="245">
        <f t="shared" si="10"/>
        <v>0.13543966142879799</v>
      </c>
      <c r="J13" s="245">
        <f t="shared" si="10"/>
        <v>1.9502826439735419E-2</v>
      </c>
      <c r="K13" s="245">
        <f t="shared" si="10"/>
        <v>0.5653125798554024</v>
      </c>
      <c r="L13" s="245">
        <f t="shared" si="10"/>
        <v>0.68540938007742358</v>
      </c>
      <c r="M13" s="245">
        <f t="shared" si="10"/>
        <v>0.49984203758868329</v>
      </c>
      <c r="N13" s="245">
        <f t="shared" si="10"/>
        <v>1.6398525667786241</v>
      </c>
      <c r="O13" s="245">
        <f t="shared" si="10"/>
        <v>2.187023818877766E-2</v>
      </c>
      <c r="P13" s="245">
        <f t="shared" si="10"/>
        <v>3.874553858521707E-3</v>
      </c>
      <c r="Q13" s="245">
        <f t="shared" si="10"/>
        <v>6.6202301491484095E-2</v>
      </c>
      <c r="R13" s="245">
        <f t="shared" si="10"/>
        <v>2.7675190383070182E-2</v>
      </c>
      <c r="S13" s="245">
        <f t="shared" si="10"/>
        <v>5.1034923050342646E-3</v>
      </c>
      <c r="T13" s="245">
        <f t="shared" si="10"/>
        <v>8.820238395992358E-3</v>
      </c>
      <c r="U13" s="245">
        <f t="shared" si="10"/>
        <v>6.8906686307816721E-4</v>
      </c>
      <c r="V13" s="245">
        <f t="shared" si="10"/>
        <v>0.49580272425354993</v>
      </c>
      <c r="W13" s="245">
        <f t="shared" si="10"/>
        <v>1.3580000000000001</v>
      </c>
      <c r="X13" s="245">
        <f t="shared" ref="X13:Y13" si="11">X5/1000000</f>
        <v>0</v>
      </c>
      <c r="Y13" s="245">
        <f t="shared" si="11"/>
        <v>0</v>
      </c>
      <c r="Z13" s="246">
        <f>SUM(B13:Y13)</f>
        <v>5.9754815056877</v>
      </c>
      <c r="AA13" s="183" t="s">
        <v>734</v>
      </c>
      <c r="AC13" s="153"/>
    </row>
    <row r="14" spans="1:30" s="183" customFormat="1" x14ac:dyDescent="0.25">
      <c r="A14" s="221" t="s">
        <v>601</v>
      </c>
      <c r="B14" s="157">
        <f t="shared" ref="B14:G14" si="12">SUM(B12:B13)</f>
        <v>5.2859722277595236E-2</v>
      </c>
      <c r="C14" s="157">
        <f t="shared" si="12"/>
        <v>0.47101837387286272</v>
      </c>
      <c r="D14" s="157">
        <f t="shared" si="12"/>
        <v>1.4874039058953065E-2</v>
      </c>
      <c r="E14" s="157">
        <f t="shared" si="12"/>
        <v>0.273760746542837</v>
      </c>
      <c r="F14" s="157">
        <f t="shared" si="12"/>
        <v>0.11275335369562779</v>
      </c>
      <c r="G14" s="157">
        <f t="shared" si="12"/>
        <v>0.80373949336296202</v>
      </c>
      <c r="H14" s="157">
        <f t="shared" ref="H14" si="13">SUM(H12:H13)</f>
        <v>0.16920791896868581</v>
      </c>
      <c r="I14" s="157">
        <f t="shared" ref="I14" si="14">SUM(I12:I13)</f>
        <v>0.86143966142879802</v>
      </c>
      <c r="J14" s="157">
        <f t="shared" ref="J14" si="15">SUM(J12:J13)</f>
        <v>0.27950282643973545</v>
      </c>
      <c r="K14" s="157">
        <f t="shared" ref="K14" si="16">SUM(K12:K13)</f>
        <v>2.0854044457350676</v>
      </c>
      <c r="L14" s="157">
        <f t="shared" ref="L14" si="17">SUM(L12:L13)</f>
        <v>2.8052593800774237</v>
      </c>
      <c r="M14" s="157">
        <f t="shared" ref="M14" si="18">SUM(M12:M13)</f>
        <v>2.1548420375886832</v>
      </c>
      <c r="N14" s="157">
        <f t="shared" ref="N14" si="19">SUM(N12:N13)</f>
        <v>5.965922566778624</v>
      </c>
      <c r="O14" s="157">
        <f t="shared" ref="O14" si="20">SUM(O12:O13)</f>
        <v>7.3620238188777665E-2</v>
      </c>
      <c r="P14" s="157">
        <f t="shared" ref="P14" si="21">SUM(P12:P13)</f>
        <v>8.834553858521707E-3</v>
      </c>
      <c r="Q14" s="157">
        <f t="shared" ref="Q14" si="22">SUM(Q12:Q13)</f>
        <v>0.18620230149148409</v>
      </c>
      <c r="R14" s="157">
        <f t="shared" ref="R14" si="23">SUM(R12:R13)</f>
        <v>5.3700190383070182E-2</v>
      </c>
      <c r="S14" s="157">
        <f t="shared" ref="S14" si="24">SUM(S12:S13)</f>
        <v>1.1923492305034264E-2</v>
      </c>
      <c r="T14" s="157">
        <f t="shared" ref="T14" si="25">SUM(T12:T13)</f>
        <v>4.224663839599236E-2</v>
      </c>
      <c r="U14" s="157">
        <f t="shared" ref="U14" si="26">SUM(U12:U13)</f>
        <v>1.0769066863078167E-2</v>
      </c>
      <c r="V14" s="157">
        <f t="shared" ref="V14" si="27">SUM(V12:V13)</f>
        <v>0.49580272425354993</v>
      </c>
      <c r="W14" s="157">
        <f>1358000/1000000</f>
        <v>1.3580000000000001</v>
      </c>
      <c r="X14" s="157">
        <f>SUM(X12:X13)</f>
        <v>2</v>
      </c>
      <c r="Y14" s="157">
        <f>SUM(Y12:Y13)</f>
        <v>1.3903691499999999</v>
      </c>
      <c r="Z14" s="246">
        <f>SUM(B14:Y14)</f>
        <v>21.682052921567358</v>
      </c>
      <c r="AA14" s="183" t="s">
        <v>734</v>
      </c>
      <c r="AC14" s="153"/>
    </row>
    <row r="15" spans="1:30" s="183" customFormat="1" x14ac:dyDescent="0.25">
      <c r="A15" s="221" t="s">
        <v>653</v>
      </c>
      <c r="B15" s="157">
        <v>0</v>
      </c>
      <c r="C15" s="157">
        <v>28267.106623791169</v>
      </c>
      <c r="D15" s="157">
        <v>0</v>
      </c>
      <c r="E15" s="157">
        <v>1439.5172985047093</v>
      </c>
      <c r="F15" s="157">
        <v>557.07310868585512</v>
      </c>
      <c r="G15" s="157">
        <f>'NR NEI'!F140</f>
        <v>0</v>
      </c>
      <c r="H15" s="157">
        <f>'NR NEI'!F159</f>
        <v>0</v>
      </c>
      <c r="I15" s="157" t="s">
        <v>579</v>
      </c>
      <c r="J15" s="157" t="s">
        <v>579</v>
      </c>
      <c r="K15" s="157">
        <f>'NR NEI'!F177</f>
        <v>0</v>
      </c>
      <c r="L15" s="157">
        <f>'NR NEI'!F10</f>
        <v>0</v>
      </c>
      <c r="M15" s="157">
        <f>'NR NEI'!F32</f>
        <v>0</v>
      </c>
      <c r="N15" s="157">
        <f>'NR NEI'!F46</f>
        <v>0</v>
      </c>
      <c r="O15" s="157" t="s">
        <v>579</v>
      </c>
      <c r="P15" s="157">
        <f>'NR NEI'!F85</f>
        <v>0</v>
      </c>
      <c r="Q15" s="157">
        <f>'NR NEI'!F89</f>
        <v>0</v>
      </c>
      <c r="R15" s="157">
        <v>0</v>
      </c>
      <c r="S15" s="157">
        <v>0</v>
      </c>
      <c r="T15" s="157">
        <f>'NR NEI'!F116</f>
        <v>0</v>
      </c>
      <c r="U15" s="157">
        <f>'NR NEI'!F117</f>
        <v>0</v>
      </c>
      <c r="V15" s="157">
        <f>'NR NEI'!F118</f>
        <v>0</v>
      </c>
      <c r="W15" s="157">
        <v>0</v>
      </c>
      <c r="X15" s="157">
        <v>0</v>
      </c>
      <c r="Y15" s="225">
        <v>0</v>
      </c>
      <c r="Z15" s="228">
        <f>SUM(B15:Y15)</f>
        <v>30263.697030981733</v>
      </c>
      <c r="AA15" s="183" t="s">
        <v>736</v>
      </c>
      <c r="AC15" s="153"/>
    </row>
    <row r="16" spans="1:30" s="33" customFormat="1" x14ac:dyDescent="0.25">
      <c r="A16" s="158"/>
      <c r="B16" s="160"/>
      <c r="C16" s="159"/>
      <c r="D16" s="161"/>
      <c r="F16" s="158"/>
      <c r="G16" s="158"/>
      <c r="H16" s="159"/>
      <c r="I16" s="160"/>
      <c r="J16" s="160"/>
      <c r="K16" s="160"/>
      <c r="L16" s="159"/>
      <c r="M16" s="161"/>
      <c r="O16" s="158"/>
      <c r="P16" s="159"/>
      <c r="Q16" s="160"/>
      <c r="R16" s="159"/>
      <c r="S16" s="161"/>
      <c r="U16" s="158"/>
      <c r="V16" s="159"/>
      <c r="W16" s="160"/>
      <c r="X16" s="160"/>
      <c r="Y16" s="160"/>
      <c r="Z16" s="160"/>
      <c r="AA16" s="159"/>
      <c r="AB16" s="156"/>
      <c r="AC16" s="223"/>
      <c r="AD16" s="224"/>
    </row>
    <row r="17" spans="1:30" s="33" customFormat="1" x14ac:dyDescent="0.25">
      <c r="A17" s="158"/>
      <c r="B17" s="160"/>
      <c r="C17" s="159"/>
      <c r="D17" s="161"/>
      <c r="F17" s="158"/>
      <c r="G17" s="158"/>
      <c r="H17" s="159"/>
      <c r="I17" s="160"/>
      <c r="J17" s="160"/>
      <c r="K17" s="160"/>
      <c r="L17" s="159"/>
      <c r="M17" s="161"/>
      <c r="O17" s="158"/>
      <c r="P17" s="159"/>
      <c r="Q17" s="160"/>
      <c r="R17" s="159"/>
      <c r="S17" s="161"/>
      <c r="U17" s="158"/>
      <c r="V17" s="159"/>
      <c r="W17" s="160"/>
      <c r="X17" s="160"/>
      <c r="Y17" s="160"/>
      <c r="Z17" s="160"/>
      <c r="AA17" s="159"/>
      <c r="AB17" s="156"/>
      <c r="AC17" s="223"/>
      <c r="AD17" s="224"/>
    </row>
    <row r="18" spans="1:30" s="33" customFormat="1" ht="15.75" thickBot="1" x14ac:dyDescent="0.3">
      <c r="A18" s="158"/>
      <c r="B18" s="160"/>
      <c r="C18" s="159"/>
      <c r="D18" s="161"/>
      <c r="F18" s="158"/>
      <c r="G18" s="158"/>
      <c r="H18" s="159"/>
      <c r="I18" s="160"/>
      <c r="J18" s="160"/>
      <c r="K18" s="160"/>
      <c r="L18" s="159"/>
      <c r="M18" s="161"/>
      <c r="O18" s="158"/>
      <c r="P18" s="159"/>
      <c r="Q18" s="160"/>
      <c r="R18" s="159"/>
      <c r="S18" s="161"/>
      <c r="U18" s="158"/>
      <c r="V18" s="159"/>
      <c r="W18" s="160"/>
      <c r="X18" s="160"/>
      <c r="Y18" s="160"/>
      <c r="Z18" s="160"/>
      <c r="AA18" s="159"/>
      <c r="AB18" s="156"/>
      <c r="AC18" s="223"/>
      <c r="AD18" s="224"/>
    </row>
    <row r="19" spans="1:30" ht="22.5" customHeight="1" thickTop="1" thickBot="1" x14ac:dyDescent="0.3">
      <c r="A19" s="186" t="s">
        <v>85</v>
      </c>
      <c r="B19" s="239">
        <v>2022</v>
      </c>
      <c r="C19" s="240">
        <v>2023</v>
      </c>
      <c r="D19" s="240">
        <v>2024</v>
      </c>
      <c r="E19" s="240">
        <v>2025</v>
      </c>
    </row>
    <row r="20" spans="1:30" ht="22.5" customHeight="1" thickBot="1" x14ac:dyDescent="0.3">
      <c r="A20" s="187" t="s">
        <v>694</v>
      </c>
      <c r="B20" s="189"/>
      <c r="C20" s="200"/>
      <c r="D20" s="188"/>
      <c r="E20" s="188"/>
      <c r="I20" s="210" t="s">
        <v>714</v>
      </c>
      <c r="J20" s="211" t="s">
        <v>715</v>
      </c>
      <c r="K20" s="211" t="s">
        <v>716</v>
      </c>
      <c r="L20" s="211" t="s">
        <v>717</v>
      </c>
    </row>
    <row r="21" spans="1:30" ht="22.5" customHeight="1" thickBot="1" x14ac:dyDescent="0.3">
      <c r="A21" s="190" t="s">
        <v>695</v>
      </c>
      <c r="B21" s="192">
        <f>N11</f>
        <v>18809</v>
      </c>
      <c r="C21" s="191">
        <f>B21</f>
        <v>18809</v>
      </c>
      <c r="D21" s="191">
        <f>B21</f>
        <v>18809</v>
      </c>
      <c r="E21" s="191">
        <f>B21</f>
        <v>18809</v>
      </c>
      <c r="I21" s="212">
        <v>2022</v>
      </c>
      <c r="J21" s="214">
        <f>Z12</f>
        <v>15.706571415879663</v>
      </c>
      <c r="K21" s="214">
        <f>Z13</f>
        <v>5.9754815056877</v>
      </c>
      <c r="L21" s="214">
        <f>SUM(J21:K21)</f>
        <v>21.682052921567362</v>
      </c>
      <c r="M21" s="254">
        <f>L21-(Z6/1000000)</f>
        <v>0</v>
      </c>
    </row>
    <row r="22" spans="1:30" ht="22.5" customHeight="1" thickBot="1" x14ac:dyDescent="0.3">
      <c r="A22" s="190" t="s">
        <v>696</v>
      </c>
      <c r="B22" s="192">
        <f>M11+L11</f>
        <v>17121.427749999999</v>
      </c>
      <c r="C22" s="191">
        <f>B22</f>
        <v>17121.427749999999</v>
      </c>
      <c r="D22" s="191">
        <f t="shared" ref="D22:D30" si="28">B22</f>
        <v>17121.427749999999</v>
      </c>
      <c r="E22" s="191">
        <f t="shared" ref="E22:E30" si="29">B22</f>
        <v>17121.427749999999</v>
      </c>
      <c r="I22" s="212">
        <v>2023</v>
      </c>
      <c r="J22" s="214">
        <f>J21</f>
        <v>15.706571415879663</v>
      </c>
      <c r="K22" s="214">
        <f>K21*1.02</f>
        <v>6.0949911358014539</v>
      </c>
      <c r="L22" s="214">
        <f t="shared" ref="L22:L24" si="30">SUM(J22:K22)</f>
        <v>21.801562551681116</v>
      </c>
      <c r="M22" t="s">
        <v>737</v>
      </c>
    </row>
    <row r="23" spans="1:30" ht="22.5" customHeight="1" thickBot="1" x14ac:dyDescent="0.3">
      <c r="A23" s="190" t="s">
        <v>697</v>
      </c>
      <c r="B23" s="192">
        <f>I11</f>
        <v>4356</v>
      </c>
      <c r="C23" s="191">
        <f>B23</f>
        <v>4356</v>
      </c>
      <c r="D23" s="191">
        <f t="shared" si="28"/>
        <v>4356</v>
      </c>
      <c r="E23" s="191">
        <f t="shared" si="29"/>
        <v>4356</v>
      </c>
      <c r="I23" s="212">
        <v>2024</v>
      </c>
      <c r="J23" s="214">
        <f>J21</f>
        <v>15.706571415879663</v>
      </c>
      <c r="K23" s="214">
        <f t="shared" ref="K23:K24" si="31">K22*1.02</f>
        <v>6.2168909585174834</v>
      </c>
      <c r="L23" s="214">
        <f t="shared" si="30"/>
        <v>21.923462374397147</v>
      </c>
      <c r="M23" s="183" t="s">
        <v>737</v>
      </c>
    </row>
    <row r="24" spans="1:30" ht="22.5" customHeight="1" thickBot="1" x14ac:dyDescent="0.3">
      <c r="A24" s="190" t="s">
        <v>698</v>
      </c>
      <c r="B24" s="192">
        <f>SUM(O11:U11)</f>
        <v>1670.0434999999998</v>
      </c>
      <c r="C24" s="191">
        <f>B24</f>
        <v>1670.0434999999998</v>
      </c>
      <c r="D24" s="191">
        <f t="shared" si="28"/>
        <v>1670.0434999999998</v>
      </c>
      <c r="E24" s="191">
        <f t="shared" si="29"/>
        <v>1670.0434999999998</v>
      </c>
      <c r="I24" s="212">
        <v>2025</v>
      </c>
      <c r="J24" s="214">
        <f>J21</f>
        <v>15.706571415879663</v>
      </c>
      <c r="K24" s="214">
        <f t="shared" si="31"/>
        <v>6.3412287776878333</v>
      </c>
      <c r="L24" s="214">
        <f t="shared" si="30"/>
        <v>22.047800193567497</v>
      </c>
      <c r="M24" s="183" t="s">
        <v>737</v>
      </c>
    </row>
    <row r="25" spans="1:30" ht="22.5" customHeight="1" thickBot="1" x14ac:dyDescent="0.3">
      <c r="A25" s="190" t="s">
        <v>623</v>
      </c>
      <c r="B25" s="192">
        <f>V11</f>
        <v>1600</v>
      </c>
      <c r="C25" s="191">
        <f>B25</f>
        <v>1600</v>
      </c>
      <c r="D25" s="191">
        <f t="shared" si="28"/>
        <v>1600</v>
      </c>
      <c r="E25" s="191">
        <f t="shared" si="29"/>
        <v>1600</v>
      </c>
      <c r="I25" s="213" t="s">
        <v>43</v>
      </c>
      <c r="J25" s="215">
        <f>SUM(J21:J24)</f>
        <v>62.826285663518654</v>
      </c>
      <c r="K25" s="215">
        <f>SUM(K21:K24)</f>
        <v>24.628592377694467</v>
      </c>
      <c r="L25" s="215">
        <f>SUM(L21:L24)</f>
        <v>87.454878041213121</v>
      </c>
    </row>
    <row r="26" spans="1:30" ht="22.5" customHeight="1" thickBot="1" x14ac:dyDescent="0.3">
      <c r="A26" s="190" t="s">
        <v>536</v>
      </c>
      <c r="B26" s="192">
        <f>G11</f>
        <v>1311.0229999999999</v>
      </c>
      <c r="C26" s="191">
        <f>B26</f>
        <v>1311.0229999999999</v>
      </c>
      <c r="D26" s="191">
        <f t="shared" si="28"/>
        <v>1311.0229999999999</v>
      </c>
      <c r="E26" s="191">
        <f t="shared" si="29"/>
        <v>1311.0229999999999</v>
      </c>
    </row>
    <row r="27" spans="1:30" ht="22.5" customHeight="1" thickBot="1" x14ac:dyDescent="0.3">
      <c r="A27" s="190" t="s">
        <v>459</v>
      </c>
      <c r="B27" s="192">
        <f>SUM(B11:F11)</f>
        <v>2143.32854</v>
      </c>
      <c r="C27" s="191">
        <f>B27</f>
        <v>2143.32854</v>
      </c>
      <c r="D27" s="191">
        <f t="shared" si="28"/>
        <v>2143.32854</v>
      </c>
      <c r="E27" s="191">
        <f t="shared" si="29"/>
        <v>2143.32854</v>
      </c>
    </row>
    <row r="28" spans="1:30" ht="22.5" customHeight="1" thickBot="1" x14ac:dyDescent="0.3">
      <c r="A28" s="190" t="s">
        <v>699</v>
      </c>
      <c r="B28" s="192">
        <f>K11</f>
        <v>789.74353204399995</v>
      </c>
      <c r="C28" s="191">
        <f>B28</f>
        <v>789.74353204399995</v>
      </c>
      <c r="D28" s="191">
        <f t="shared" si="28"/>
        <v>789.74353204399995</v>
      </c>
      <c r="E28" s="191">
        <f t="shared" si="29"/>
        <v>789.74353204399995</v>
      </c>
    </row>
    <row r="29" spans="1:30" ht="22.5" customHeight="1" thickBot="1" x14ac:dyDescent="0.3">
      <c r="A29" s="190" t="s">
        <v>700</v>
      </c>
      <c r="B29" s="192">
        <f>H11</f>
        <v>413.97567231814787</v>
      </c>
      <c r="C29" s="191">
        <f>B29</f>
        <v>413.97567231814787</v>
      </c>
      <c r="D29" s="191">
        <f t="shared" si="28"/>
        <v>413.97567231814787</v>
      </c>
      <c r="E29" s="191">
        <f t="shared" si="29"/>
        <v>413.97567231814787</v>
      </c>
    </row>
    <row r="30" spans="1:30" ht="33.75" customHeight="1" thickBot="1" x14ac:dyDescent="0.3">
      <c r="A30" s="190" t="s">
        <v>701</v>
      </c>
      <c r="B30" s="192">
        <f>J11</f>
        <v>260</v>
      </c>
      <c r="C30" s="191">
        <f>B30</f>
        <v>260</v>
      </c>
      <c r="D30" s="191">
        <f t="shared" si="28"/>
        <v>260</v>
      </c>
      <c r="E30" s="191">
        <f t="shared" si="29"/>
        <v>260</v>
      </c>
    </row>
    <row r="31" spans="1:30" ht="33.75" customHeight="1" thickBot="1" x14ac:dyDescent="0.3">
      <c r="A31" s="190" t="s">
        <v>684</v>
      </c>
      <c r="B31" s="192">
        <f>W11</f>
        <v>4818</v>
      </c>
      <c r="C31" s="191">
        <v>5782</v>
      </c>
      <c r="D31" s="191">
        <f>B31</f>
        <v>4818</v>
      </c>
      <c r="E31" s="191">
        <f>C31</f>
        <v>5782</v>
      </c>
    </row>
    <row r="32" spans="1:30" ht="22.5" customHeight="1" thickBot="1" x14ac:dyDescent="0.3">
      <c r="A32" s="193" t="s">
        <v>702</v>
      </c>
      <c r="B32" s="255">
        <f>SUM(B21:B31)</f>
        <v>53292.541994362153</v>
      </c>
      <c r="C32" s="204">
        <f>SUM(C21:C31)</f>
        <v>54256.541994362153</v>
      </c>
      <c r="D32" s="204">
        <f>SUM(D21:D31)</f>
        <v>53292.541994362153</v>
      </c>
      <c r="E32" s="204">
        <f>SUM(E21:E31)</f>
        <v>54256.541994362153</v>
      </c>
    </row>
    <row r="33" ht="33.75" customHeight="1" x14ac:dyDescent="0.25"/>
    <row r="34" ht="33.7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33.75" customHeight="1" x14ac:dyDescent="0.25"/>
    <row r="40" ht="33.75" customHeight="1" x14ac:dyDescent="0.25"/>
    <row r="41" ht="33.75" customHeight="1" x14ac:dyDescent="0.25"/>
    <row r="42" ht="33.75" customHeight="1" x14ac:dyDescent="0.25"/>
    <row r="43" ht="22.5" customHeight="1" x14ac:dyDescent="0.25"/>
    <row r="44" ht="22.5" customHeight="1" x14ac:dyDescent="0.25"/>
    <row r="45" ht="33.75" customHeight="1" x14ac:dyDescent="0.25"/>
    <row r="46" ht="33.75" customHeight="1" x14ac:dyDescent="0.25"/>
    <row r="47" ht="22.5" customHeight="1" x14ac:dyDescent="0.25"/>
    <row r="48" ht="22.5" customHeight="1" x14ac:dyDescent="0.25"/>
    <row r="49" ht="22.5" customHeight="1" x14ac:dyDescent="0.25"/>
    <row r="50" ht="33.75" customHeight="1" x14ac:dyDescent="0.25"/>
    <row r="51" ht="33.75" customHeight="1" x14ac:dyDescent="0.25"/>
    <row r="52" ht="22.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45" customHeight="1" x14ac:dyDescent="0.25"/>
    <row r="64" ht="45" customHeight="1" x14ac:dyDescent="0.25"/>
    <row r="65" ht="33.75" customHeight="1" x14ac:dyDescent="0.25"/>
    <row r="66" ht="45" customHeight="1" x14ac:dyDescent="0.25"/>
    <row r="67" ht="45" customHeight="1" x14ac:dyDescent="0.25"/>
    <row r="68" ht="33.75" customHeight="1" x14ac:dyDescent="0.25"/>
    <row r="69" ht="33.75" customHeight="1" x14ac:dyDescent="0.25"/>
    <row r="70" ht="33.75" customHeight="1" x14ac:dyDescent="0.25"/>
  </sheetData>
  <mergeCells count="1">
    <mergeCell ref="B1:F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75"/>
  <sheetViews>
    <sheetView zoomScaleNormal="100" workbookViewId="0">
      <selection activeCell="C9" sqref="C9"/>
    </sheetView>
  </sheetViews>
  <sheetFormatPr defaultRowHeight="15" x14ac:dyDescent="0.25"/>
  <cols>
    <col min="1" max="1" width="25.7109375" bestFit="1" customWidth="1"/>
    <col min="2" max="2" width="28.28515625" bestFit="1" customWidth="1"/>
    <col min="3" max="3" width="10.5703125" style="2" bestFit="1" customWidth="1"/>
    <col min="4" max="4" width="12.7109375" bestFit="1" customWidth="1"/>
    <col min="5" max="5" width="13.28515625" bestFit="1" customWidth="1"/>
    <col min="6" max="6" width="13.5703125" bestFit="1" customWidth="1"/>
    <col min="8" max="8" width="14.28515625" bestFit="1" customWidth="1"/>
    <col min="9" max="9" width="37.5703125" customWidth="1"/>
    <col min="10" max="10" width="15.140625" bestFit="1" customWidth="1"/>
    <col min="12" max="12" width="14.28515625" bestFit="1" customWidth="1"/>
  </cols>
  <sheetData>
    <row r="1" spans="1:12" x14ac:dyDescent="0.25">
      <c r="A1" s="272" t="s">
        <v>85</v>
      </c>
      <c r="B1" s="272" t="s">
        <v>88</v>
      </c>
      <c r="C1" s="273" t="s">
        <v>676</v>
      </c>
      <c r="D1" s="272" t="s">
        <v>677</v>
      </c>
      <c r="E1" s="272"/>
      <c r="F1" s="272"/>
    </row>
    <row r="2" spans="1:12" x14ac:dyDescent="0.25">
      <c r="A2" s="24" t="s">
        <v>678</v>
      </c>
      <c r="B2" s="24" t="s">
        <v>555</v>
      </c>
      <c r="C2" s="241">
        <v>1500</v>
      </c>
      <c r="D2" s="148">
        <v>5.7282803240880442</v>
      </c>
      <c r="E2" s="148">
        <f>D2*C2</f>
        <v>8592.4204861320668</v>
      </c>
      <c r="F2" s="175">
        <f>SUM(E2:E23)</f>
        <v>249121.58817950051</v>
      </c>
      <c r="H2" s="7"/>
    </row>
    <row r="3" spans="1:12" x14ac:dyDescent="0.25">
      <c r="A3" s="24" t="s">
        <v>678</v>
      </c>
      <c r="B3" s="24" t="s">
        <v>668</v>
      </c>
      <c r="C3" s="241">
        <v>500</v>
      </c>
      <c r="D3" s="148">
        <v>25.79922920891174</v>
      </c>
      <c r="E3" s="148">
        <f t="shared" ref="E3:E66" si="0">D3*C3</f>
        <v>12899.61460445587</v>
      </c>
      <c r="F3" s="176"/>
    </row>
    <row r="4" spans="1:12" x14ac:dyDescent="0.25">
      <c r="A4" s="24" t="s">
        <v>678</v>
      </c>
      <c r="B4" s="24" t="s">
        <v>669</v>
      </c>
      <c r="C4" s="241">
        <v>1500</v>
      </c>
      <c r="D4" s="148">
        <v>31.397470550062938</v>
      </c>
      <c r="E4" s="148">
        <f t="shared" si="0"/>
        <v>47096.205825094403</v>
      </c>
      <c r="F4" s="176"/>
    </row>
    <row r="5" spans="1:12" x14ac:dyDescent="0.25">
      <c r="A5" s="24" t="s">
        <v>678</v>
      </c>
      <c r="B5" s="24" t="s">
        <v>670</v>
      </c>
      <c r="C5" s="241">
        <v>100</v>
      </c>
      <c r="D5" s="148">
        <v>82.943155866073212</v>
      </c>
      <c r="E5" s="148">
        <f t="shared" si="0"/>
        <v>8294.3155866073212</v>
      </c>
      <c r="F5" s="176"/>
    </row>
    <row r="6" spans="1:12" x14ac:dyDescent="0.25">
      <c r="A6" s="24" t="s">
        <v>678</v>
      </c>
      <c r="B6" s="24" t="s">
        <v>575</v>
      </c>
      <c r="C6" s="241">
        <v>1000</v>
      </c>
      <c r="D6" s="148">
        <v>2.2114202185648897</v>
      </c>
      <c r="E6" s="148">
        <f t="shared" si="0"/>
        <v>2211.4202185648896</v>
      </c>
      <c r="F6" s="176"/>
    </row>
    <row r="7" spans="1:12" x14ac:dyDescent="0.25">
      <c r="A7" s="24" t="s">
        <v>678</v>
      </c>
      <c r="B7" s="24" t="s">
        <v>556</v>
      </c>
      <c r="C7" s="241">
        <v>200</v>
      </c>
      <c r="D7" s="148">
        <v>12.598378669225463</v>
      </c>
      <c r="E7" s="148">
        <f t="shared" si="0"/>
        <v>2519.6757338450925</v>
      </c>
      <c r="F7" s="176"/>
    </row>
    <row r="8" spans="1:12" x14ac:dyDescent="0.25">
      <c r="A8" s="24" t="s">
        <v>678</v>
      </c>
      <c r="B8" s="24" t="s">
        <v>557</v>
      </c>
      <c r="C8" s="241">
        <v>5000</v>
      </c>
      <c r="D8" s="148">
        <v>3.414596439330098</v>
      </c>
      <c r="E8" s="148">
        <f t="shared" si="0"/>
        <v>17072.98219665049</v>
      </c>
      <c r="F8" s="176"/>
      <c r="I8" s="33"/>
      <c r="J8" s="33"/>
      <c r="K8" s="33"/>
      <c r="L8" s="33"/>
    </row>
    <row r="9" spans="1:12" x14ac:dyDescent="0.25">
      <c r="A9" s="24" t="s">
        <v>678</v>
      </c>
      <c r="B9" s="24" t="s">
        <v>589</v>
      </c>
      <c r="C9" s="241">
        <v>60000</v>
      </c>
      <c r="D9" s="148">
        <v>1.3559404628560696</v>
      </c>
      <c r="E9" s="148">
        <f t="shared" si="0"/>
        <v>81356.427771364179</v>
      </c>
      <c r="F9" s="176"/>
      <c r="I9" s="33"/>
      <c r="J9" s="33"/>
      <c r="K9" s="33"/>
      <c r="L9" s="33"/>
    </row>
    <row r="10" spans="1:12" x14ac:dyDescent="0.25">
      <c r="A10" s="24" t="s">
        <v>678</v>
      </c>
      <c r="B10" s="24" t="s">
        <v>558</v>
      </c>
      <c r="C10" s="241">
        <v>1000</v>
      </c>
      <c r="D10" s="148">
        <v>1.4814343939621155</v>
      </c>
      <c r="E10" s="148">
        <f t="shared" si="0"/>
        <v>1481.4343939621156</v>
      </c>
      <c r="F10" s="176"/>
      <c r="I10" s="266"/>
      <c r="J10" s="267"/>
      <c r="K10" s="33"/>
      <c r="L10" s="61"/>
    </row>
    <row r="11" spans="1:12" x14ac:dyDescent="0.25">
      <c r="A11" s="24" t="s">
        <v>678</v>
      </c>
      <c r="B11" s="24" t="s">
        <v>559</v>
      </c>
      <c r="C11" s="241">
        <v>1000</v>
      </c>
      <c r="D11" s="148">
        <v>3.4751971304074645</v>
      </c>
      <c r="E11" s="148">
        <f t="shared" si="0"/>
        <v>3475.1971304074646</v>
      </c>
      <c r="F11" s="176"/>
      <c r="I11" s="266"/>
      <c r="J11" s="267"/>
      <c r="K11" s="33"/>
      <c r="L11" s="61"/>
    </row>
    <row r="12" spans="1:12" x14ac:dyDescent="0.25">
      <c r="A12" s="24" t="s">
        <v>678</v>
      </c>
      <c r="B12" s="24" t="s">
        <v>560</v>
      </c>
      <c r="C12" s="241">
        <v>4500</v>
      </c>
      <c r="D12" s="148">
        <v>6.4072605670340348</v>
      </c>
      <c r="E12" s="148">
        <f t="shared" si="0"/>
        <v>28832.672551653155</v>
      </c>
      <c r="F12" s="176"/>
      <c r="I12" s="266"/>
      <c r="J12" s="267"/>
      <c r="K12" s="33"/>
      <c r="L12" s="61"/>
    </row>
    <row r="13" spans="1:12" x14ac:dyDescent="0.25">
      <c r="A13" s="24" t="s">
        <v>678</v>
      </c>
      <c r="B13" s="24" t="s">
        <v>567</v>
      </c>
      <c r="C13" s="241">
        <v>5000</v>
      </c>
      <c r="D13" s="148">
        <v>2.5987596357010556</v>
      </c>
      <c r="E13" s="148">
        <f t="shared" si="0"/>
        <v>12993.798178505278</v>
      </c>
      <c r="F13" s="176"/>
      <c r="I13" s="266"/>
      <c r="J13" s="267"/>
      <c r="K13" s="33"/>
      <c r="L13" s="61"/>
    </row>
    <row r="14" spans="1:12" x14ac:dyDescent="0.25">
      <c r="A14" s="24" t="s">
        <v>678</v>
      </c>
      <c r="B14" s="24" t="s">
        <v>576</v>
      </c>
      <c r="C14" s="241">
        <v>500</v>
      </c>
      <c r="D14" s="148">
        <v>18.282470989402924</v>
      </c>
      <c r="E14" s="148">
        <f t="shared" si="0"/>
        <v>9141.2354947014628</v>
      </c>
      <c r="F14" s="176"/>
      <c r="I14" s="266"/>
      <c r="J14" s="267"/>
      <c r="K14" s="33"/>
      <c r="L14" s="61"/>
    </row>
    <row r="15" spans="1:12" x14ac:dyDescent="0.25">
      <c r="A15" s="24" t="s">
        <v>678</v>
      </c>
      <c r="B15" s="24" t="s">
        <v>590</v>
      </c>
      <c r="C15" s="241">
        <v>700</v>
      </c>
      <c r="D15" s="148">
        <v>0.86305484209349081</v>
      </c>
      <c r="E15" s="148">
        <f t="shared" si="0"/>
        <v>604.13838946544354</v>
      </c>
      <c r="F15" s="176"/>
      <c r="I15" s="266"/>
      <c r="J15" s="267"/>
      <c r="K15" s="33"/>
      <c r="L15" s="61"/>
    </row>
    <row r="16" spans="1:12" x14ac:dyDescent="0.25">
      <c r="A16" s="24" t="s">
        <v>678</v>
      </c>
      <c r="B16" s="24" t="s">
        <v>591</v>
      </c>
      <c r="C16" s="241">
        <v>200</v>
      </c>
      <c r="D16" s="148">
        <v>1.0789448040566079</v>
      </c>
      <c r="E16" s="148">
        <f t="shared" si="0"/>
        <v>215.78896081132157</v>
      </c>
      <c r="F16" s="176"/>
      <c r="I16" s="266"/>
      <c r="J16" s="267"/>
      <c r="K16" s="33"/>
      <c r="L16" s="61"/>
    </row>
    <row r="17" spans="1:12" x14ac:dyDescent="0.25">
      <c r="A17" s="24" t="s">
        <v>678</v>
      </c>
      <c r="B17" s="24" t="s">
        <v>631</v>
      </c>
      <c r="C17" s="241">
        <v>200</v>
      </c>
      <c r="D17" s="148">
        <v>3.9703552770854449</v>
      </c>
      <c r="E17" s="148">
        <f t="shared" si="0"/>
        <v>794.07105541708893</v>
      </c>
      <c r="F17" s="176"/>
      <c r="I17" s="266"/>
      <c r="J17" s="267"/>
      <c r="K17" s="33"/>
      <c r="L17" s="61"/>
    </row>
    <row r="18" spans="1:12" x14ac:dyDescent="0.25">
      <c r="A18" s="24" t="s">
        <v>678</v>
      </c>
      <c r="B18" s="24" t="s">
        <v>654</v>
      </c>
      <c r="C18" s="241">
        <v>100</v>
      </c>
      <c r="D18" s="148">
        <v>20.377992386282351</v>
      </c>
      <c r="E18" s="148">
        <f t="shared" si="0"/>
        <v>2037.7992386282351</v>
      </c>
      <c r="F18" s="176"/>
      <c r="I18" s="266"/>
      <c r="J18" s="267"/>
      <c r="K18" s="33"/>
      <c r="L18" s="61"/>
    </row>
    <row r="19" spans="1:12" x14ac:dyDescent="0.25">
      <c r="A19" s="24" t="s">
        <v>678</v>
      </c>
      <c r="B19" s="24" t="s">
        <v>632</v>
      </c>
      <c r="C19" s="241">
        <v>200</v>
      </c>
      <c r="D19" s="148">
        <v>0.45879773203156027</v>
      </c>
      <c r="E19" s="148">
        <f t="shared" si="0"/>
        <v>91.759546406312055</v>
      </c>
      <c r="F19" s="176"/>
      <c r="I19" s="266"/>
      <c r="J19" s="267"/>
      <c r="K19" s="33"/>
      <c r="L19" s="61"/>
    </row>
    <row r="20" spans="1:12" x14ac:dyDescent="0.25">
      <c r="A20" s="24" t="s">
        <v>678</v>
      </c>
      <c r="B20" s="24" t="s">
        <v>655</v>
      </c>
      <c r="C20" s="241">
        <v>100</v>
      </c>
      <c r="D20" s="148">
        <v>9.7425711022045789</v>
      </c>
      <c r="E20" s="148">
        <f t="shared" si="0"/>
        <v>974.25711022045789</v>
      </c>
      <c r="F20" s="176"/>
      <c r="I20" s="266"/>
      <c r="J20" s="267"/>
      <c r="K20" s="33"/>
      <c r="L20" s="61"/>
    </row>
    <row r="21" spans="1:12" x14ac:dyDescent="0.25">
      <c r="A21" s="24" t="s">
        <v>678</v>
      </c>
      <c r="B21" s="24" t="s">
        <v>648</v>
      </c>
      <c r="C21" s="241">
        <v>1000</v>
      </c>
      <c r="D21" s="148">
        <v>5.5146628880403279</v>
      </c>
      <c r="E21" s="148">
        <f t="shared" si="0"/>
        <v>5514.6628880403277</v>
      </c>
      <c r="F21" s="176"/>
      <c r="I21" s="33"/>
      <c r="J21" s="33"/>
      <c r="K21" s="33"/>
      <c r="L21" s="117"/>
    </row>
    <row r="22" spans="1:12" x14ac:dyDescent="0.25">
      <c r="A22" s="24" t="s">
        <v>678</v>
      </c>
      <c r="B22" s="24" t="s">
        <v>657</v>
      </c>
      <c r="C22" s="241">
        <v>1500</v>
      </c>
      <c r="D22" s="148">
        <v>1.7331797648126743</v>
      </c>
      <c r="E22" s="148">
        <f t="shared" si="0"/>
        <v>2599.7696472190114</v>
      </c>
      <c r="F22" s="176"/>
      <c r="I22" s="33"/>
      <c r="J22" s="33"/>
      <c r="K22" s="33"/>
      <c r="L22" s="33"/>
    </row>
    <row r="23" spans="1:12" x14ac:dyDescent="0.25">
      <c r="A23" s="24" t="s">
        <v>678</v>
      </c>
      <c r="B23" s="24" t="s">
        <v>656</v>
      </c>
      <c r="C23" s="241">
        <v>200</v>
      </c>
      <c r="D23" s="148">
        <v>1.6097058567425406</v>
      </c>
      <c r="E23" s="148">
        <f t="shared" si="0"/>
        <v>321.94117134850813</v>
      </c>
      <c r="F23" s="176"/>
    </row>
    <row r="24" spans="1:12" x14ac:dyDescent="0.25">
      <c r="A24" s="24" t="s">
        <v>448</v>
      </c>
      <c r="B24" s="24" t="s">
        <v>658</v>
      </c>
      <c r="C24" s="241">
        <v>500</v>
      </c>
      <c r="D24" s="148">
        <v>8.3979932689255143</v>
      </c>
      <c r="E24" s="148">
        <f t="shared" si="0"/>
        <v>4198.9966344627574</v>
      </c>
      <c r="F24" s="175">
        <f>SUM(E24:E37)</f>
        <v>183199.39260433105</v>
      </c>
      <c r="H24" s="7"/>
    </row>
    <row r="25" spans="1:12" x14ac:dyDescent="0.25">
      <c r="A25" s="24" t="s">
        <v>448</v>
      </c>
      <c r="B25" s="24" t="s">
        <v>659</v>
      </c>
      <c r="C25" s="241">
        <v>725</v>
      </c>
      <c r="D25" s="148">
        <v>11.495193588737909</v>
      </c>
      <c r="E25" s="148">
        <f t="shared" si="0"/>
        <v>8334.0153518349834</v>
      </c>
      <c r="F25" s="176"/>
    </row>
    <row r="26" spans="1:12" x14ac:dyDescent="0.25">
      <c r="A26" s="24" t="s">
        <v>448</v>
      </c>
      <c r="B26" s="24" t="s">
        <v>660</v>
      </c>
      <c r="C26" s="241">
        <v>350</v>
      </c>
      <c r="D26" s="148">
        <v>17.738832289863055</v>
      </c>
      <c r="E26" s="148">
        <f t="shared" si="0"/>
        <v>6208.5913014520693</v>
      </c>
      <c r="F26" s="176"/>
    </row>
    <row r="27" spans="1:12" x14ac:dyDescent="0.25">
      <c r="A27" s="24" t="s">
        <v>448</v>
      </c>
      <c r="B27" s="24" t="s">
        <v>661</v>
      </c>
      <c r="C27" s="241">
        <v>700</v>
      </c>
      <c r="D27" s="148">
        <v>17.766607606606847</v>
      </c>
      <c r="E27" s="148">
        <f t="shared" si="0"/>
        <v>12436.625324624792</v>
      </c>
      <c r="F27" s="176"/>
    </row>
    <row r="28" spans="1:12" x14ac:dyDescent="0.25">
      <c r="A28" s="24" t="s">
        <v>448</v>
      </c>
      <c r="B28" s="24" t="s">
        <v>561</v>
      </c>
      <c r="C28" s="241">
        <v>100</v>
      </c>
      <c r="D28" s="148">
        <v>16.765433689432861</v>
      </c>
      <c r="E28" s="148">
        <f t="shared" si="0"/>
        <v>1676.5433689432862</v>
      </c>
      <c r="F28" s="176"/>
    </row>
    <row r="29" spans="1:12" x14ac:dyDescent="0.25">
      <c r="A29" s="24" t="s">
        <v>448</v>
      </c>
      <c r="B29" s="24" t="s">
        <v>662</v>
      </c>
      <c r="C29" s="241">
        <v>300</v>
      </c>
      <c r="D29" s="148">
        <v>22.194498101326406</v>
      </c>
      <c r="E29" s="148">
        <f t="shared" si="0"/>
        <v>6658.3494303979214</v>
      </c>
      <c r="F29" s="176"/>
    </row>
    <row r="30" spans="1:12" x14ac:dyDescent="0.25">
      <c r="A30" s="24" t="s">
        <v>448</v>
      </c>
      <c r="B30" s="24" t="s">
        <v>562</v>
      </c>
      <c r="C30" s="241">
        <v>100</v>
      </c>
      <c r="D30" s="148">
        <v>21.740497924005137</v>
      </c>
      <c r="E30" s="148">
        <f t="shared" si="0"/>
        <v>2174.0497924005135</v>
      </c>
      <c r="F30" s="176"/>
    </row>
    <row r="31" spans="1:12" x14ac:dyDescent="0.25">
      <c r="A31" s="24" t="s">
        <v>448</v>
      </c>
      <c r="B31" s="24" t="s">
        <v>663</v>
      </c>
      <c r="C31" s="241">
        <v>150</v>
      </c>
      <c r="D31" s="148">
        <v>27.406915042618373</v>
      </c>
      <c r="E31" s="148">
        <f t="shared" si="0"/>
        <v>4111.0372563927558</v>
      </c>
      <c r="F31" s="176"/>
    </row>
    <row r="32" spans="1:12" x14ac:dyDescent="0.25">
      <c r="A32" s="24" t="s">
        <v>448</v>
      </c>
      <c r="B32" s="24" t="s">
        <v>563</v>
      </c>
      <c r="C32" s="241">
        <v>100</v>
      </c>
      <c r="D32" s="148">
        <v>24.346075137452399</v>
      </c>
      <c r="E32" s="148">
        <f t="shared" si="0"/>
        <v>2434.6075137452399</v>
      </c>
      <c r="F32" s="176"/>
    </row>
    <row r="33" spans="1:8" x14ac:dyDescent="0.25">
      <c r="A33" s="24" t="s">
        <v>448</v>
      </c>
      <c r="B33" s="24" t="s">
        <v>664</v>
      </c>
      <c r="C33" s="241">
        <v>1900</v>
      </c>
      <c r="D33" s="148">
        <v>36.463940827010241</v>
      </c>
      <c r="E33" s="148">
        <f t="shared" si="0"/>
        <v>69281.487571319463</v>
      </c>
      <c r="F33" s="176"/>
    </row>
    <row r="34" spans="1:8" x14ac:dyDescent="0.25">
      <c r="A34" s="24" t="s">
        <v>448</v>
      </c>
      <c r="B34" s="24" t="s">
        <v>665</v>
      </c>
      <c r="C34" s="241">
        <v>250</v>
      </c>
      <c r="D34" s="148">
        <v>72.994037408446616</v>
      </c>
      <c r="E34" s="148">
        <f t="shared" si="0"/>
        <v>18248.509352111654</v>
      </c>
      <c r="F34" s="176"/>
    </row>
    <row r="35" spans="1:8" x14ac:dyDescent="0.25">
      <c r="A35" s="24" t="s">
        <v>448</v>
      </c>
      <c r="B35" s="24" t="s">
        <v>666</v>
      </c>
      <c r="C35" s="241">
        <v>400</v>
      </c>
      <c r="D35" s="148">
        <v>90.670248984196391</v>
      </c>
      <c r="E35" s="148">
        <f t="shared" si="0"/>
        <v>36268.099593678555</v>
      </c>
      <c r="F35" s="176"/>
    </row>
    <row r="36" spans="1:8" x14ac:dyDescent="0.25">
      <c r="A36" s="24" t="s">
        <v>448</v>
      </c>
      <c r="B36" s="24" t="s">
        <v>564</v>
      </c>
      <c r="C36" s="241">
        <v>6000</v>
      </c>
      <c r="D36" s="148">
        <v>1.2132763359447698</v>
      </c>
      <c r="E36" s="148">
        <f t="shared" si="0"/>
        <v>7279.6580156686186</v>
      </c>
      <c r="F36" s="176"/>
    </row>
    <row r="37" spans="1:8" x14ac:dyDescent="0.25">
      <c r="A37" s="24" t="s">
        <v>448</v>
      </c>
      <c r="B37" s="24" t="s">
        <v>667</v>
      </c>
      <c r="C37" s="241">
        <v>100</v>
      </c>
      <c r="D37" s="148">
        <v>38.888220972984378</v>
      </c>
      <c r="E37" s="148">
        <f t="shared" si="0"/>
        <v>3888.8220972984377</v>
      </c>
      <c r="F37" s="176"/>
    </row>
    <row r="38" spans="1:8" x14ac:dyDescent="0.25">
      <c r="A38" s="24" t="s">
        <v>76</v>
      </c>
      <c r="B38" s="24" t="s">
        <v>76</v>
      </c>
      <c r="C38" s="241">
        <v>1</v>
      </c>
      <c r="D38" s="148">
        <v>474932.66603090899</v>
      </c>
      <c r="E38" s="148">
        <f t="shared" si="0"/>
        <v>474932.66603090899</v>
      </c>
      <c r="F38" s="148">
        <f>E38</f>
        <v>474932.66603090899</v>
      </c>
      <c r="H38" s="7"/>
    </row>
    <row r="39" spans="1:8" x14ac:dyDescent="0.25">
      <c r="A39" s="24" t="s">
        <v>462</v>
      </c>
      <c r="B39" s="24" t="s">
        <v>439</v>
      </c>
      <c r="C39" s="241">
        <v>15000</v>
      </c>
      <c r="D39" s="148">
        <v>0</v>
      </c>
      <c r="E39" s="148">
        <f t="shared" si="0"/>
        <v>0</v>
      </c>
      <c r="F39" s="24"/>
    </row>
    <row r="40" spans="1:8" x14ac:dyDescent="0.25">
      <c r="A40" s="24" t="s">
        <v>462</v>
      </c>
      <c r="B40" s="24" t="s">
        <v>440</v>
      </c>
      <c r="C40" s="241">
        <v>15000</v>
      </c>
      <c r="D40" s="148">
        <v>0</v>
      </c>
      <c r="E40" s="148">
        <f t="shared" si="0"/>
        <v>0</v>
      </c>
      <c r="F40" s="24"/>
    </row>
    <row r="41" spans="1:8" x14ac:dyDescent="0.25">
      <c r="A41" s="24" t="s">
        <v>462</v>
      </c>
      <c r="B41" s="24" t="s">
        <v>441</v>
      </c>
      <c r="C41" s="241">
        <v>15000</v>
      </c>
      <c r="D41" s="148">
        <v>0</v>
      </c>
      <c r="E41" s="148">
        <f t="shared" si="0"/>
        <v>0</v>
      </c>
      <c r="F41" s="24"/>
    </row>
    <row r="42" spans="1:8" x14ac:dyDescent="0.25">
      <c r="A42" s="24" t="s">
        <v>462</v>
      </c>
      <c r="B42" s="24" t="s">
        <v>442</v>
      </c>
      <c r="C42" s="241">
        <v>15000</v>
      </c>
      <c r="D42" s="148">
        <v>0</v>
      </c>
      <c r="E42" s="148">
        <f t="shared" si="0"/>
        <v>0</v>
      </c>
      <c r="F42" s="24"/>
    </row>
    <row r="43" spans="1:8" x14ac:dyDescent="0.25">
      <c r="A43" s="24" t="s">
        <v>462</v>
      </c>
      <c r="B43" s="24" t="s">
        <v>443</v>
      </c>
      <c r="C43" s="241">
        <v>15000</v>
      </c>
      <c r="D43" s="148">
        <v>0</v>
      </c>
      <c r="E43" s="148">
        <f t="shared" si="0"/>
        <v>0</v>
      </c>
      <c r="F43" s="261">
        <f>SUM(E39:E43)</f>
        <v>0</v>
      </c>
    </row>
    <row r="44" spans="1:8" x14ac:dyDescent="0.25">
      <c r="A44" s="24" t="s">
        <v>463</v>
      </c>
      <c r="B44" s="24" t="s">
        <v>473</v>
      </c>
      <c r="C44" s="241">
        <v>1</v>
      </c>
      <c r="D44" s="148">
        <v>5.1575267539082486</v>
      </c>
      <c r="E44" s="148">
        <f t="shared" si="0"/>
        <v>5.1575267539082486</v>
      </c>
      <c r="F44" s="24"/>
    </row>
    <row r="45" spans="1:8" x14ac:dyDescent="0.25">
      <c r="A45" s="24" t="s">
        <v>463</v>
      </c>
      <c r="B45" s="24" t="s">
        <v>474</v>
      </c>
      <c r="C45" s="241">
        <v>0</v>
      </c>
      <c r="D45" s="148">
        <v>6.9061739199952354</v>
      </c>
      <c r="E45" s="148">
        <f t="shared" si="0"/>
        <v>0</v>
      </c>
      <c r="F45" s="24"/>
    </row>
    <row r="46" spans="1:8" x14ac:dyDescent="0.25">
      <c r="A46" s="24" t="s">
        <v>463</v>
      </c>
      <c r="B46" s="24" t="s">
        <v>475</v>
      </c>
      <c r="C46" s="241">
        <v>0</v>
      </c>
      <c r="D46" s="148">
        <v>8.7727074118858397</v>
      </c>
      <c r="E46" s="148">
        <f t="shared" si="0"/>
        <v>0</v>
      </c>
      <c r="F46" s="24"/>
    </row>
    <row r="47" spans="1:8" x14ac:dyDescent="0.25">
      <c r="A47" s="24" t="s">
        <v>463</v>
      </c>
      <c r="B47" s="24" t="s">
        <v>476</v>
      </c>
      <c r="C47" s="241">
        <v>0</v>
      </c>
      <c r="D47" s="148">
        <v>9.4505537852566377</v>
      </c>
      <c r="E47" s="148">
        <f t="shared" si="0"/>
        <v>0</v>
      </c>
      <c r="F47" s="24"/>
    </row>
    <row r="48" spans="1:8" x14ac:dyDescent="0.25">
      <c r="A48" s="24" t="s">
        <v>463</v>
      </c>
      <c r="B48" s="24" t="s">
        <v>477</v>
      </c>
      <c r="C48" s="241">
        <v>1</v>
      </c>
      <c r="D48" s="148">
        <v>11.012547602154566</v>
      </c>
      <c r="E48" s="148">
        <f t="shared" si="0"/>
        <v>11.012547602154566</v>
      </c>
      <c r="F48" s="24"/>
    </row>
    <row r="49" spans="1:6" x14ac:dyDescent="0.25">
      <c r="A49" s="24" t="s">
        <v>463</v>
      </c>
      <c r="B49" s="24" t="s">
        <v>478</v>
      </c>
      <c r="C49" s="241">
        <v>1</v>
      </c>
      <c r="D49" s="148">
        <v>11.847575743263519</v>
      </c>
      <c r="E49" s="148">
        <f t="shared" si="0"/>
        <v>11.847575743263519</v>
      </c>
      <c r="F49" s="24"/>
    </row>
    <row r="50" spans="1:6" x14ac:dyDescent="0.25">
      <c r="A50" s="24" t="s">
        <v>463</v>
      </c>
      <c r="B50" s="24" t="s">
        <v>479</v>
      </c>
      <c r="C50" s="241">
        <v>0</v>
      </c>
      <c r="D50" s="148">
        <v>12.46647895373251</v>
      </c>
      <c r="E50" s="148">
        <f t="shared" si="0"/>
        <v>0</v>
      </c>
      <c r="F50" s="24"/>
    </row>
    <row r="51" spans="1:6" x14ac:dyDescent="0.25">
      <c r="A51" s="24" t="s">
        <v>463</v>
      </c>
      <c r="B51" s="24" t="s">
        <v>480</v>
      </c>
      <c r="C51" s="241">
        <v>2</v>
      </c>
      <c r="D51" s="148">
        <v>12.820137931143361</v>
      </c>
      <c r="E51" s="148">
        <f t="shared" si="0"/>
        <v>25.640275862286721</v>
      </c>
      <c r="F51" s="24"/>
    </row>
    <row r="52" spans="1:6" x14ac:dyDescent="0.25">
      <c r="A52" s="24" t="s">
        <v>463</v>
      </c>
      <c r="B52" s="24" t="s">
        <v>481</v>
      </c>
      <c r="C52" s="241">
        <v>2</v>
      </c>
      <c r="D52" s="148">
        <v>16.92651161330269</v>
      </c>
      <c r="E52" s="148">
        <f t="shared" si="0"/>
        <v>33.85302322660538</v>
      </c>
      <c r="F52" s="24"/>
    </row>
    <row r="53" spans="1:6" x14ac:dyDescent="0.25">
      <c r="A53" s="24" t="s">
        <v>463</v>
      </c>
      <c r="B53" s="24" t="s">
        <v>482</v>
      </c>
      <c r="C53" s="241">
        <v>1</v>
      </c>
      <c r="D53" s="148">
        <v>19.549482362433171</v>
      </c>
      <c r="E53" s="148">
        <f t="shared" si="0"/>
        <v>19.549482362433171</v>
      </c>
      <c r="F53" s="24"/>
    </row>
    <row r="54" spans="1:6" x14ac:dyDescent="0.25">
      <c r="A54" s="24" t="s">
        <v>463</v>
      </c>
      <c r="B54" s="24" t="s">
        <v>483</v>
      </c>
      <c r="C54" s="241">
        <v>1</v>
      </c>
      <c r="D54" s="148">
        <v>23.24325390427984</v>
      </c>
      <c r="E54" s="148">
        <f t="shared" si="0"/>
        <v>23.24325390427984</v>
      </c>
      <c r="F54" s="24"/>
    </row>
    <row r="55" spans="1:6" x14ac:dyDescent="0.25">
      <c r="A55" s="24" t="s">
        <v>463</v>
      </c>
      <c r="B55" s="24" t="s">
        <v>484</v>
      </c>
      <c r="C55" s="241">
        <v>0</v>
      </c>
      <c r="D55" s="148">
        <v>30.827274197645874</v>
      </c>
      <c r="E55" s="148">
        <f t="shared" si="0"/>
        <v>0</v>
      </c>
      <c r="F55" s="24"/>
    </row>
    <row r="56" spans="1:6" x14ac:dyDescent="0.25">
      <c r="A56" s="24" t="s">
        <v>463</v>
      </c>
      <c r="B56" s="24" t="s">
        <v>485</v>
      </c>
      <c r="C56" s="241">
        <v>1</v>
      </c>
      <c r="D56" s="148">
        <v>37.320845977328453</v>
      </c>
      <c r="E56" s="148">
        <f t="shared" si="0"/>
        <v>37.320845977328453</v>
      </c>
      <c r="F56" s="24"/>
    </row>
    <row r="57" spans="1:6" x14ac:dyDescent="0.25">
      <c r="A57" s="24" t="s">
        <v>463</v>
      </c>
      <c r="B57" s="24" t="s">
        <v>486</v>
      </c>
      <c r="C57" s="241">
        <v>0</v>
      </c>
      <c r="D57" s="148">
        <v>44.551207293283632</v>
      </c>
      <c r="E57" s="148">
        <f t="shared" si="0"/>
        <v>0</v>
      </c>
      <c r="F57" s="24"/>
    </row>
    <row r="58" spans="1:6" x14ac:dyDescent="0.25">
      <c r="A58" s="24" t="s">
        <v>463</v>
      </c>
      <c r="B58" s="24" t="s">
        <v>487</v>
      </c>
      <c r="C58" s="241">
        <v>0</v>
      </c>
      <c r="D58" s="148">
        <v>51.938750376976969</v>
      </c>
      <c r="E58" s="148">
        <f t="shared" si="0"/>
        <v>0</v>
      </c>
      <c r="F58" s="24"/>
    </row>
    <row r="59" spans="1:6" x14ac:dyDescent="0.25">
      <c r="A59" s="24" t="s">
        <v>463</v>
      </c>
      <c r="B59" s="24" t="s">
        <v>488</v>
      </c>
      <c r="C59" s="241">
        <v>1</v>
      </c>
      <c r="D59" s="148">
        <v>58.884219738906744</v>
      </c>
      <c r="E59" s="148">
        <f t="shared" si="0"/>
        <v>58.884219738906744</v>
      </c>
      <c r="F59" s="24"/>
    </row>
    <row r="60" spans="1:6" x14ac:dyDescent="0.25">
      <c r="A60" s="24" t="s">
        <v>463</v>
      </c>
      <c r="B60" s="24" t="s">
        <v>489</v>
      </c>
      <c r="C60" s="241">
        <v>0</v>
      </c>
      <c r="D60" s="148">
        <v>66.1342287758292</v>
      </c>
      <c r="E60" s="148">
        <f t="shared" si="0"/>
        <v>0</v>
      </c>
      <c r="F60" s="24"/>
    </row>
    <row r="61" spans="1:6" x14ac:dyDescent="0.25">
      <c r="A61" s="24" t="s">
        <v>463</v>
      </c>
      <c r="B61" s="24" t="s">
        <v>491</v>
      </c>
      <c r="C61" s="241">
        <v>1</v>
      </c>
      <c r="D61" s="148">
        <v>73.590538882907978</v>
      </c>
      <c r="E61" s="148">
        <f t="shared" si="0"/>
        <v>73.590538882907978</v>
      </c>
      <c r="F61" s="24"/>
    </row>
    <row r="62" spans="1:6" x14ac:dyDescent="0.25">
      <c r="A62" s="24" t="s">
        <v>463</v>
      </c>
      <c r="B62" s="24" t="s">
        <v>492</v>
      </c>
      <c r="C62" s="241">
        <v>1</v>
      </c>
      <c r="D62" s="148">
        <v>99.584473722605551</v>
      </c>
      <c r="E62" s="148">
        <f t="shared" si="0"/>
        <v>99.584473722605551</v>
      </c>
      <c r="F62" s="24"/>
    </row>
    <row r="63" spans="1:6" x14ac:dyDescent="0.25">
      <c r="A63" s="24" t="s">
        <v>463</v>
      </c>
      <c r="B63" s="24" t="s">
        <v>493</v>
      </c>
      <c r="C63" s="241">
        <v>0</v>
      </c>
      <c r="D63" s="148">
        <v>115.69560491576657</v>
      </c>
      <c r="E63" s="148">
        <f t="shared" si="0"/>
        <v>0</v>
      </c>
      <c r="F63" s="24"/>
    </row>
    <row r="64" spans="1:6" x14ac:dyDescent="0.25">
      <c r="A64" s="24" t="s">
        <v>463</v>
      </c>
      <c r="B64" s="24" t="s">
        <v>494</v>
      </c>
      <c r="C64" s="241">
        <v>0</v>
      </c>
      <c r="D64" s="148">
        <v>131.94427015569846</v>
      </c>
      <c r="E64" s="148">
        <f t="shared" si="0"/>
        <v>0</v>
      </c>
      <c r="F64" s="24"/>
    </row>
    <row r="65" spans="1:6" x14ac:dyDescent="0.25">
      <c r="A65" s="24" t="s">
        <v>463</v>
      </c>
      <c r="B65" s="24" t="s">
        <v>495</v>
      </c>
      <c r="C65" s="241">
        <v>0</v>
      </c>
      <c r="D65" s="148">
        <v>148.11434451176126</v>
      </c>
      <c r="E65" s="148">
        <f t="shared" si="0"/>
        <v>0</v>
      </c>
      <c r="F65" s="24"/>
    </row>
    <row r="66" spans="1:6" x14ac:dyDescent="0.25">
      <c r="A66" s="24" t="s">
        <v>463</v>
      </c>
      <c r="B66" s="24" t="s">
        <v>496</v>
      </c>
      <c r="C66" s="241">
        <v>0</v>
      </c>
      <c r="D66" s="148">
        <v>163.88164058799507</v>
      </c>
      <c r="E66" s="148">
        <f t="shared" si="0"/>
        <v>0</v>
      </c>
      <c r="F66" s="24"/>
    </row>
    <row r="67" spans="1:6" x14ac:dyDescent="0.25">
      <c r="A67" s="24" t="s">
        <v>463</v>
      </c>
      <c r="B67" s="24" t="s">
        <v>497</v>
      </c>
      <c r="C67" s="241">
        <v>0</v>
      </c>
      <c r="D67" s="148">
        <v>174.98260293450232</v>
      </c>
      <c r="E67" s="148">
        <f t="shared" ref="E67:E109" si="1">D67*C67</f>
        <v>0</v>
      </c>
      <c r="F67" s="24"/>
    </row>
    <row r="68" spans="1:6" x14ac:dyDescent="0.25">
      <c r="A68" s="24" t="s">
        <v>463</v>
      </c>
      <c r="B68" s="24" t="s">
        <v>498</v>
      </c>
      <c r="C68" s="241">
        <v>0</v>
      </c>
      <c r="D68" s="148">
        <v>209.53312025544577</v>
      </c>
      <c r="E68" s="148">
        <f t="shared" si="1"/>
        <v>0</v>
      </c>
      <c r="F68" s="24"/>
    </row>
    <row r="69" spans="1:6" x14ac:dyDescent="0.25">
      <c r="A69" s="24" t="s">
        <v>463</v>
      </c>
      <c r="B69" s="24" t="s">
        <v>499</v>
      </c>
      <c r="C69" s="241">
        <v>0</v>
      </c>
      <c r="D69" s="148">
        <v>243.42543892398569</v>
      </c>
      <c r="E69" s="148">
        <f t="shared" si="1"/>
        <v>0</v>
      </c>
      <c r="F69" s="24"/>
    </row>
    <row r="70" spans="1:6" x14ac:dyDescent="0.25">
      <c r="A70" s="24" t="s">
        <v>463</v>
      </c>
      <c r="B70" s="24" t="s">
        <v>500</v>
      </c>
      <c r="C70" s="241">
        <v>0</v>
      </c>
      <c r="D70" s="148">
        <v>277.04268949898386</v>
      </c>
      <c r="E70" s="148">
        <f t="shared" si="1"/>
        <v>0</v>
      </c>
      <c r="F70" s="24"/>
    </row>
    <row r="71" spans="1:6" x14ac:dyDescent="0.25">
      <c r="A71" s="24" t="s">
        <v>463</v>
      </c>
      <c r="B71" s="24" t="s">
        <v>501</v>
      </c>
      <c r="C71" s="241">
        <v>0</v>
      </c>
      <c r="D71" s="148">
        <v>309.71684946755306</v>
      </c>
      <c r="E71" s="148">
        <f t="shared" si="1"/>
        <v>0</v>
      </c>
      <c r="F71" s="24"/>
    </row>
    <row r="72" spans="1:6" x14ac:dyDescent="0.25">
      <c r="A72" s="24" t="s">
        <v>463</v>
      </c>
      <c r="B72" s="24" t="s">
        <v>502</v>
      </c>
      <c r="C72" s="241">
        <v>0</v>
      </c>
      <c r="D72" s="148">
        <v>343.41269092642028</v>
      </c>
      <c r="E72" s="148">
        <f t="shared" si="1"/>
        <v>0</v>
      </c>
      <c r="F72" s="24"/>
    </row>
    <row r="73" spans="1:6" x14ac:dyDescent="0.25">
      <c r="A73" s="24" t="s">
        <v>463</v>
      </c>
      <c r="B73" s="24" t="s">
        <v>503</v>
      </c>
      <c r="C73" s="241">
        <v>0</v>
      </c>
      <c r="D73" s="148">
        <v>409.51744812079858</v>
      </c>
      <c r="E73" s="148">
        <f t="shared" si="1"/>
        <v>0</v>
      </c>
      <c r="F73" s="24"/>
    </row>
    <row r="74" spans="1:6" x14ac:dyDescent="0.25">
      <c r="A74" s="24" t="s">
        <v>463</v>
      </c>
      <c r="B74" s="24" t="s">
        <v>504</v>
      </c>
      <c r="C74" s="241">
        <v>0</v>
      </c>
      <c r="D74" s="148">
        <v>476.77159699176212</v>
      </c>
      <c r="E74" s="148">
        <f t="shared" si="1"/>
        <v>0</v>
      </c>
      <c r="F74" s="24"/>
    </row>
    <row r="75" spans="1:6" x14ac:dyDescent="0.25">
      <c r="A75" s="24" t="s">
        <v>463</v>
      </c>
      <c r="B75" s="24" t="s">
        <v>505</v>
      </c>
      <c r="C75" s="241">
        <v>0</v>
      </c>
      <c r="D75" s="148">
        <v>544.89024558528558</v>
      </c>
      <c r="E75" s="148">
        <f t="shared" si="1"/>
        <v>0</v>
      </c>
      <c r="F75" s="24"/>
    </row>
    <row r="76" spans="1:6" x14ac:dyDescent="0.25">
      <c r="A76" s="24" t="s">
        <v>463</v>
      </c>
      <c r="B76" s="24" t="s">
        <v>490</v>
      </c>
      <c r="C76" s="241">
        <v>0</v>
      </c>
      <c r="D76" s="148">
        <v>611.72196845545284</v>
      </c>
      <c r="E76" s="148">
        <f t="shared" si="1"/>
        <v>0</v>
      </c>
      <c r="F76" s="24"/>
    </row>
    <row r="77" spans="1:6" x14ac:dyDescent="0.25">
      <c r="A77" s="24" t="s">
        <v>463</v>
      </c>
      <c r="B77" s="24" t="s">
        <v>506</v>
      </c>
      <c r="C77" s="241">
        <v>0</v>
      </c>
      <c r="D77" s="148">
        <v>678.2786232320783</v>
      </c>
      <c r="E77" s="148">
        <f t="shared" si="1"/>
        <v>0</v>
      </c>
      <c r="F77" s="148">
        <f>SUM(E44:E77)</f>
        <v>399.68376377668017</v>
      </c>
    </row>
    <row r="78" spans="1:6" x14ac:dyDescent="0.25">
      <c r="A78" s="24" t="s">
        <v>449</v>
      </c>
      <c r="B78" s="24" t="s">
        <v>449</v>
      </c>
      <c r="C78" s="241">
        <v>50</v>
      </c>
      <c r="D78" s="148">
        <v>0</v>
      </c>
      <c r="E78" s="148">
        <f t="shared" si="1"/>
        <v>0</v>
      </c>
      <c r="F78" s="24"/>
    </row>
    <row r="79" spans="1:6" x14ac:dyDescent="0.25">
      <c r="A79" s="24" t="s">
        <v>509</v>
      </c>
      <c r="B79" s="24" t="s">
        <v>444</v>
      </c>
      <c r="C79" s="241">
        <v>200</v>
      </c>
      <c r="D79" s="148">
        <v>3.0545584852937568</v>
      </c>
      <c r="E79" s="148">
        <f t="shared" si="1"/>
        <v>610.91169705875132</v>
      </c>
      <c r="F79" s="24"/>
    </row>
    <row r="80" spans="1:6" x14ac:dyDescent="0.25">
      <c r="A80" s="24" t="s">
        <v>509</v>
      </c>
      <c r="B80" s="24" t="s">
        <v>445</v>
      </c>
      <c r="C80" s="241">
        <v>200</v>
      </c>
      <c r="D80" s="148">
        <v>2.8613737598260491</v>
      </c>
      <c r="E80" s="148">
        <f t="shared" si="1"/>
        <v>572.27475196520982</v>
      </c>
      <c r="F80" s="24"/>
    </row>
    <row r="81" spans="1:6" x14ac:dyDescent="0.25">
      <c r="A81" s="24" t="s">
        <v>509</v>
      </c>
      <c r="B81" s="24" t="s">
        <v>446</v>
      </c>
      <c r="C81" s="241">
        <v>200</v>
      </c>
      <c r="D81" s="148">
        <v>4.916411274221665</v>
      </c>
      <c r="E81" s="148">
        <f t="shared" si="1"/>
        <v>983.28225484433301</v>
      </c>
      <c r="F81" s="148">
        <f>SUM(E78:E81)</f>
        <v>2166.4687038682941</v>
      </c>
    </row>
    <row r="82" spans="1:6" x14ac:dyDescent="0.25">
      <c r="A82" s="24" t="s">
        <v>508</v>
      </c>
      <c r="B82" s="24" t="s">
        <v>465</v>
      </c>
      <c r="C82" s="241">
        <v>2</v>
      </c>
      <c r="D82" s="148">
        <v>76.38000000000001</v>
      </c>
      <c r="E82" s="148">
        <f t="shared" si="1"/>
        <v>152.76000000000002</v>
      </c>
      <c r="F82" s="24"/>
    </row>
    <row r="83" spans="1:6" x14ac:dyDescent="0.25">
      <c r="A83" s="24" t="s">
        <v>508</v>
      </c>
      <c r="B83" s="24" t="s">
        <v>637</v>
      </c>
      <c r="C83" s="241">
        <v>2</v>
      </c>
      <c r="D83" s="148">
        <v>199.48500000000001</v>
      </c>
      <c r="E83" s="148">
        <f t="shared" si="1"/>
        <v>398.97</v>
      </c>
      <c r="F83" s="24"/>
    </row>
    <row r="84" spans="1:6" x14ac:dyDescent="0.25">
      <c r="A84" s="24" t="s">
        <v>508</v>
      </c>
      <c r="B84" s="24" t="s">
        <v>638</v>
      </c>
      <c r="C84" s="241">
        <v>2</v>
      </c>
      <c r="D84" s="148">
        <v>268.63200000000001</v>
      </c>
      <c r="E84" s="148">
        <f t="shared" si="1"/>
        <v>537.26400000000001</v>
      </c>
      <c r="F84" s="24"/>
    </row>
    <row r="85" spans="1:6" x14ac:dyDescent="0.25">
      <c r="A85" s="24" t="s">
        <v>508</v>
      </c>
      <c r="B85" s="24" t="s">
        <v>639</v>
      </c>
      <c r="C85" s="241">
        <v>2</v>
      </c>
      <c r="D85" s="148">
        <v>485.19900000000001</v>
      </c>
      <c r="E85" s="148">
        <f t="shared" si="1"/>
        <v>970.39800000000002</v>
      </c>
      <c r="F85" s="24"/>
    </row>
    <row r="86" spans="1:6" x14ac:dyDescent="0.25">
      <c r="A86" s="24" t="s">
        <v>508</v>
      </c>
      <c r="B86" s="24" t="s">
        <v>546</v>
      </c>
      <c r="C86" s="241">
        <v>10</v>
      </c>
      <c r="D86" s="148">
        <v>0</v>
      </c>
      <c r="E86" s="148">
        <f t="shared" si="1"/>
        <v>0</v>
      </c>
      <c r="F86" s="24"/>
    </row>
    <row r="87" spans="1:6" x14ac:dyDescent="0.25">
      <c r="A87" s="24" t="s">
        <v>508</v>
      </c>
      <c r="B87" s="24" t="s">
        <v>466</v>
      </c>
      <c r="C87" s="241">
        <v>1</v>
      </c>
      <c r="D87" s="148">
        <v>453.29599999999999</v>
      </c>
      <c r="E87" s="148">
        <f t="shared" si="1"/>
        <v>453.29599999999999</v>
      </c>
      <c r="F87" s="24"/>
    </row>
    <row r="88" spans="1:6" x14ac:dyDescent="0.25">
      <c r="A88" s="24" t="s">
        <v>508</v>
      </c>
      <c r="B88" s="24" t="s">
        <v>467</v>
      </c>
      <c r="C88" s="241">
        <v>1</v>
      </c>
      <c r="D88" s="148">
        <v>316.63400000000001</v>
      </c>
      <c r="E88" s="148">
        <f t="shared" si="1"/>
        <v>316.63400000000001</v>
      </c>
      <c r="F88" s="24"/>
    </row>
    <row r="89" spans="1:6" x14ac:dyDescent="0.25">
      <c r="A89" s="24" t="s">
        <v>508</v>
      </c>
      <c r="B89" s="24" t="s">
        <v>573</v>
      </c>
      <c r="C89" s="241">
        <v>2</v>
      </c>
      <c r="D89" s="148">
        <v>0</v>
      </c>
      <c r="E89" s="148">
        <f t="shared" si="1"/>
        <v>0</v>
      </c>
      <c r="F89" s="24"/>
    </row>
    <row r="90" spans="1:6" x14ac:dyDescent="0.25">
      <c r="A90" s="24" t="s">
        <v>508</v>
      </c>
      <c r="B90" s="24" t="s">
        <v>468</v>
      </c>
      <c r="C90" s="241">
        <v>1</v>
      </c>
      <c r="D90" s="148">
        <v>0</v>
      </c>
      <c r="E90" s="148">
        <f t="shared" si="1"/>
        <v>0</v>
      </c>
      <c r="F90" s="24"/>
    </row>
    <row r="91" spans="1:6" x14ac:dyDescent="0.25">
      <c r="A91" s="24" t="s">
        <v>508</v>
      </c>
      <c r="B91" s="24" t="s">
        <v>469</v>
      </c>
      <c r="C91" s="241">
        <v>1</v>
      </c>
      <c r="D91" s="148">
        <v>0</v>
      </c>
      <c r="E91" s="148">
        <f t="shared" si="1"/>
        <v>0</v>
      </c>
      <c r="F91" s="24"/>
    </row>
    <row r="92" spans="1:6" x14ac:dyDescent="0.25">
      <c r="A92" s="24" t="s">
        <v>508</v>
      </c>
      <c r="B92" s="24" t="s">
        <v>578</v>
      </c>
      <c r="C92" s="241">
        <v>1</v>
      </c>
      <c r="D92" s="148">
        <v>0</v>
      </c>
      <c r="E92" s="148">
        <f t="shared" si="1"/>
        <v>0</v>
      </c>
      <c r="F92" s="24"/>
    </row>
    <row r="93" spans="1:6" x14ac:dyDescent="0.25">
      <c r="A93" s="24" t="s">
        <v>508</v>
      </c>
      <c r="B93" s="24" t="s">
        <v>551</v>
      </c>
      <c r="C93" s="241">
        <v>1</v>
      </c>
      <c r="D93" s="148">
        <v>0</v>
      </c>
      <c r="E93" s="148">
        <f t="shared" si="1"/>
        <v>0</v>
      </c>
      <c r="F93" s="24"/>
    </row>
    <row r="94" spans="1:6" x14ac:dyDescent="0.25">
      <c r="A94" s="24" t="s">
        <v>508</v>
      </c>
      <c r="B94" s="24" t="s">
        <v>470</v>
      </c>
      <c r="C94" s="241">
        <v>2</v>
      </c>
      <c r="D94" s="148">
        <v>0</v>
      </c>
      <c r="E94" s="148">
        <f t="shared" si="1"/>
        <v>0</v>
      </c>
      <c r="F94" s="24"/>
    </row>
    <row r="95" spans="1:6" x14ac:dyDescent="0.25">
      <c r="A95" s="24" t="s">
        <v>508</v>
      </c>
      <c r="B95" s="24" t="s">
        <v>471</v>
      </c>
      <c r="C95" s="241">
        <v>2</v>
      </c>
      <c r="D95" s="148">
        <v>1068.6000000000001</v>
      </c>
      <c r="E95" s="148">
        <f t="shared" si="1"/>
        <v>2137.2000000000003</v>
      </c>
      <c r="F95" s="24"/>
    </row>
    <row r="96" spans="1:6" x14ac:dyDescent="0.25">
      <c r="A96" s="24" t="s">
        <v>508</v>
      </c>
      <c r="B96" s="24" t="s">
        <v>472</v>
      </c>
      <c r="C96" s="241">
        <v>2</v>
      </c>
      <c r="D96" s="148">
        <v>1482.39</v>
      </c>
      <c r="E96" s="148">
        <f t="shared" si="1"/>
        <v>2964.78</v>
      </c>
      <c r="F96" s="24"/>
    </row>
    <row r="97" spans="1:6" x14ac:dyDescent="0.25">
      <c r="A97" s="24" t="s">
        <v>508</v>
      </c>
      <c r="B97" s="24" t="s">
        <v>633</v>
      </c>
      <c r="C97" s="241">
        <v>2</v>
      </c>
      <c r="D97" s="148">
        <v>107.092</v>
      </c>
      <c r="E97" s="148">
        <f t="shared" si="1"/>
        <v>214.184</v>
      </c>
      <c r="F97" s="24"/>
    </row>
    <row r="98" spans="1:6" x14ac:dyDescent="0.25">
      <c r="A98" s="24" t="s">
        <v>508</v>
      </c>
      <c r="B98" s="24" t="s">
        <v>634</v>
      </c>
      <c r="C98" s="241">
        <v>2</v>
      </c>
      <c r="D98" s="148">
        <v>398.16399999999999</v>
      </c>
      <c r="E98" s="148">
        <f t="shared" si="1"/>
        <v>796.32799999999997</v>
      </c>
      <c r="F98" s="24"/>
    </row>
    <row r="99" spans="1:6" x14ac:dyDescent="0.25">
      <c r="A99" s="24" t="s">
        <v>508</v>
      </c>
      <c r="B99" s="24" t="s">
        <v>635</v>
      </c>
      <c r="C99" s="241">
        <v>2</v>
      </c>
      <c r="D99" s="148">
        <v>462.07</v>
      </c>
      <c r="E99" s="148">
        <f t="shared" si="1"/>
        <v>924.14</v>
      </c>
      <c r="F99" s="24"/>
    </row>
    <row r="100" spans="1:6" x14ac:dyDescent="0.25">
      <c r="A100" s="24" t="s">
        <v>508</v>
      </c>
      <c r="B100" s="24" t="s">
        <v>636</v>
      </c>
      <c r="C100" s="241">
        <v>2</v>
      </c>
      <c r="D100" s="148">
        <v>720.62599999999998</v>
      </c>
      <c r="E100" s="148">
        <f t="shared" si="1"/>
        <v>1441.252</v>
      </c>
      <c r="F100" s="24"/>
    </row>
    <row r="101" spans="1:6" x14ac:dyDescent="0.25">
      <c r="A101" s="24" t="s">
        <v>508</v>
      </c>
      <c r="B101" s="24" t="s">
        <v>640</v>
      </c>
      <c r="C101" s="241">
        <v>2</v>
      </c>
      <c r="D101" s="148">
        <v>0</v>
      </c>
      <c r="E101" s="148">
        <f t="shared" si="1"/>
        <v>0</v>
      </c>
      <c r="F101" s="24"/>
    </row>
    <row r="102" spans="1:6" x14ac:dyDescent="0.25">
      <c r="A102" s="24" t="s">
        <v>508</v>
      </c>
      <c r="B102" s="24" t="s">
        <v>641</v>
      </c>
      <c r="C102" s="241">
        <v>2</v>
      </c>
      <c r="D102" s="148">
        <v>0</v>
      </c>
      <c r="E102" s="148">
        <f t="shared" si="1"/>
        <v>0</v>
      </c>
      <c r="F102" s="24"/>
    </row>
    <row r="103" spans="1:6" x14ac:dyDescent="0.25">
      <c r="A103" s="24" t="s">
        <v>508</v>
      </c>
      <c r="B103" s="24" t="s">
        <v>642</v>
      </c>
      <c r="C103" s="241">
        <v>2</v>
      </c>
      <c r="D103" s="148">
        <v>0</v>
      </c>
      <c r="E103" s="148">
        <f t="shared" si="1"/>
        <v>0</v>
      </c>
      <c r="F103" s="24"/>
    </row>
    <row r="104" spans="1:6" x14ac:dyDescent="0.25">
      <c r="A104" s="24" t="s">
        <v>508</v>
      </c>
      <c r="B104" s="24" t="s">
        <v>643</v>
      </c>
      <c r="C104" s="241">
        <v>2</v>
      </c>
      <c r="D104" s="148">
        <v>0</v>
      </c>
      <c r="E104" s="148">
        <f t="shared" si="1"/>
        <v>0</v>
      </c>
      <c r="F104" s="24"/>
    </row>
    <row r="105" spans="1:6" x14ac:dyDescent="0.25">
      <c r="A105" s="24" t="s">
        <v>508</v>
      </c>
      <c r="B105" s="24" t="s">
        <v>644</v>
      </c>
      <c r="C105" s="241">
        <v>2</v>
      </c>
      <c r="D105" s="148">
        <v>0</v>
      </c>
      <c r="E105" s="148">
        <f t="shared" si="1"/>
        <v>0</v>
      </c>
      <c r="F105" s="24"/>
    </row>
    <row r="106" spans="1:6" x14ac:dyDescent="0.25">
      <c r="A106" s="24" t="s">
        <v>508</v>
      </c>
      <c r="B106" s="24" t="s">
        <v>645</v>
      </c>
      <c r="C106" s="241">
        <v>2</v>
      </c>
      <c r="D106" s="148">
        <v>0</v>
      </c>
      <c r="E106" s="148">
        <f t="shared" si="1"/>
        <v>0</v>
      </c>
      <c r="F106" s="24"/>
    </row>
    <row r="107" spans="1:6" x14ac:dyDescent="0.25">
      <c r="A107" s="24" t="s">
        <v>508</v>
      </c>
      <c r="B107" s="24">
        <v>0</v>
      </c>
      <c r="C107" s="241">
        <v>0</v>
      </c>
      <c r="D107" s="148">
        <v>0</v>
      </c>
      <c r="E107" s="148">
        <f t="shared" si="1"/>
        <v>0</v>
      </c>
      <c r="F107" s="148">
        <f>SUM(E82:E107)</f>
        <v>11307.206000000002</v>
      </c>
    </row>
    <row r="108" spans="1:6" x14ac:dyDescent="0.25">
      <c r="A108" s="24" t="s">
        <v>621</v>
      </c>
      <c r="B108" s="24" t="s">
        <v>621</v>
      </c>
      <c r="C108" s="241">
        <v>7</v>
      </c>
      <c r="D108" s="148">
        <v>579.6</v>
      </c>
      <c r="E108" s="148">
        <f t="shared" si="1"/>
        <v>4057.2000000000003</v>
      </c>
      <c r="F108" s="148">
        <f>E108</f>
        <v>4057.2000000000003</v>
      </c>
    </row>
    <row r="109" spans="1:6" x14ac:dyDescent="0.25">
      <c r="A109" s="24" t="s">
        <v>623</v>
      </c>
      <c r="B109" s="24" t="s">
        <v>623</v>
      </c>
      <c r="C109" s="241">
        <v>1</v>
      </c>
      <c r="D109" s="148">
        <v>40400.460718244154</v>
      </c>
      <c r="E109" s="148">
        <f t="shared" si="1"/>
        <v>40400.460718244154</v>
      </c>
      <c r="F109" s="148">
        <f>E109</f>
        <v>40400.460718244154</v>
      </c>
    </row>
    <row r="110" spans="1:6" x14ac:dyDescent="0.25">
      <c r="A110" s="104"/>
      <c r="B110" s="104"/>
      <c r="D110" s="7"/>
    </row>
    <row r="111" spans="1:6" ht="15.75" thickBot="1" x14ac:dyDescent="0.3">
      <c r="A111" s="104"/>
      <c r="B111" s="104"/>
      <c r="D111" s="7"/>
      <c r="E111" s="268">
        <f>SUM(E2:E109)</f>
        <v>965584.66600062943</v>
      </c>
      <c r="F111" s="268">
        <f>SUM(F2:F109)</f>
        <v>965584.66600062966</v>
      </c>
    </row>
    <row r="112" spans="1:6" s="183" customFormat="1" ht="15.75" thickTop="1" x14ac:dyDescent="0.25">
      <c r="C112" s="2"/>
      <c r="D112" s="7"/>
      <c r="E112" s="274"/>
      <c r="F112" s="274"/>
    </row>
    <row r="113" spans="1:8" x14ac:dyDescent="0.25">
      <c r="A113" s="272" t="s">
        <v>85</v>
      </c>
      <c r="B113" s="272" t="s">
        <v>88</v>
      </c>
      <c r="C113" s="273" t="s">
        <v>676</v>
      </c>
      <c r="D113" s="272" t="s">
        <v>677</v>
      </c>
      <c r="E113" s="272"/>
      <c r="F113" s="272"/>
    </row>
    <row r="114" spans="1:8" x14ac:dyDescent="0.25">
      <c r="A114" s="176" t="s">
        <v>459</v>
      </c>
      <c r="B114" s="24" t="s">
        <v>602</v>
      </c>
      <c r="C114" s="241">
        <v>300</v>
      </c>
      <c r="D114" s="162">
        <v>24.395453915586149</v>
      </c>
      <c r="E114" s="218">
        <f>D114*C114</f>
        <v>7318.6361746758448</v>
      </c>
      <c r="F114" s="162"/>
    </row>
    <row r="115" spans="1:8" x14ac:dyDescent="0.25">
      <c r="A115" s="176" t="s">
        <v>459</v>
      </c>
      <c r="B115" s="24" t="s">
        <v>603</v>
      </c>
      <c r="C115" s="241">
        <v>100</v>
      </c>
      <c r="D115" s="162">
        <v>9.4577098525559986</v>
      </c>
      <c r="E115" s="218">
        <f t="shared" ref="E115:E169" si="2">D115*C115</f>
        <v>945.77098525559984</v>
      </c>
      <c r="F115" s="162"/>
    </row>
    <row r="116" spans="1:8" x14ac:dyDescent="0.25">
      <c r="A116" s="176" t="s">
        <v>459</v>
      </c>
      <c r="B116" s="24" t="s">
        <v>604</v>
      </c>
      <c r="C116" s="241">
        <v>160</v>
      </c>
      <c r="D116" s="162">
        <v>97.638133230923273</v>
      </c>
      <c r="E116" s="218">
        <f t="shared" si="2"/>
        <v>15622.101316947723</v>
      </c>
      <c r="F116" s="162"/>
      <c r="H116" s="25"/>
    </row>
    <row r="117" spans="1:8" x14ac:dyDescent="0.25">
      <c r="A117" s="176" t="s">
        <v>459</v>
      </c>
      <c r="B117" s="24" t="s">
        <v>526</v>
      </c>
      <c r="C117" s="241">
        <v>20000</v>
      </c>
      <c r="D117" s="162">
        <v>3.3158364577565648E-3</v>
      </c>
      <c r="E117" s="218">
        <f t="shared" si="2"/>
        <v>66.316729155131299</v>
      </c>
      <c r="F117" s="162"/>
      <c r="H117" s="25"/>
    </row>
    <row r="118" spans="1:8" x14ac:dyDescent="0.25">
      <c r="A118" s="176" t="s">
        <v>459</v>
      </c>
      <c r="B118" s="24" t="s">
        <v>605</v>
      </c>
      <c r="C118" s="241">
        <v>35</v>
      </c>
      <c r="D118" s="162">
        <v>0</v>
      </c>
      <c r="E118" s="218">
        <f t="shared" si="2"/>
        <v>0</v>
      </c>
      <c r="F118" s="162"/>
      <c r="H118" s="25"/>
    </row>
    <row r="119" spans="1:8" x14ac:dyDescent="0.25">
      <c r="A119" s="176" t="s">
        <v>459</v>
      </c>
      <c r="B119" s="24" t="s">
        <v>606</v>
      </c>
      <c r="C119" s="241">
        <v>308</v>
      </c>
      <c r="D119" s="162">
        <v>1.9074626517520345E-3</v>
      </c>
      <c r="E119" s="218">
        <f t="shared" si="2"/>
        <v>0.58749849673962662</v>
      </c>
      <c r="F119" s="162"/>
      <c r="H119" s="25"/>
    </row>
    <row r="120" spans="1:8" x14ac:dyDescent="0.25">
      <c r="A120" s="176" t="s">
        <v>459</v>
      </c>
      <c r="B120" s="24" t="s">
        <v>629</v>
      </c>
      <c r="C120" s="241">
        <v>150</v>
      </c>
      <c r="D120" s="162">
        <v>29.203987646080009</v>
      </c>
      <c r="E120" s="218">
        <f t="shared" si="2"/>
        <v>4380.5981469120015</v>
      </c>
      <c r="F120" s="162"/>
    </row>
    <row r="121" spans="1:8" x14ac:dyDescent="0.25">
      <c r="A121" s="176" t="s">
        <v>459</v>
      </c>
      <c r="B121" s="24" t="s">
        <v>607</v>
      </c>
      <c r="C121" s="241">
        <v>190</v>
      </c>
      <c r="D121" s="162">
        <v>2.931963729925553</v>
      </c>
      <c r="E121" s="218">
        <f t="shared" si="2"/>
        <v>557.07310868585512</v>
      </c>
      <c r="F121" s="162"/>
    </row>
    <row r="122" spans="1:8" x14ac:dyDescent="0.25">
      <c r="A122" s="176" t="s">
        <v>459</v>
      </c>
      <c r="B122" s="24" t="s">
        <v>608</v>
      </c>
      <c r="C122" s="241">
        <v>10000</v>
      </c>
      <c r="D122" s="162">
        <v>1.5874476532607998E-2</v>
      </c>
      <c r="E122" s="218">
        <f t="shared" si="2"/>
        <v>158.74476532607997</v>
      </c>
      <c r="F122" s="162"/>
    </row>
    <row r="123" spans="1:8" x14ac:dyDescent="0.25">
      <c r="A123" s="176" t="s">
        <v>459</v>
      </c>
      <c r="B123" s="24" t="s">
        <v>609</v>
      </c>
      <c r="C123" s="241">
        <v>2200</v>
      </c>
      <c r="D123" s="162">
        <v>1.0582984355072E-2</v>
      </c>
      <c r="E123" s="218">
        <f t="shared" si="2"/>
        <v>23.282565581158398</v>
      </c>
      <c r="F123" s="162"/>
    </row>
    <row r="124" spans="1:8" x14ac:dyDescent="0.25">
      <c r="A124" s="176" t="s">
        <v>459</v>
      </c>
      <c r="B124" s="24" t="s">
        <v>610</v>
      </c>
      <c r="C124" s="241">
        <v>75000</v>
      </c>
      <c r="D124" s="162">
        <v>1.5874476532607998E-2</v>
      </c>
      <c r="E124" s="218">
        <f t="shared" si="2"/>
        <v>1190.5857399455999</v>
      </c>
      <c r="F124" s="162"/>
    </row>
    <row r="125" spans="1:8" x14ac:dyDescent="0.25">
      <c r="A125" s="176" t="s">
        <v>459</v>
      </c>
      <c r="B125" s="24" t="s">
        <v>630</v>
      </c>
      <c r="C125" s="241">
        <v>100</v>
      </c>
      <c r="D125" s="162">
        <v>86.759643915529537</v>
      </c>
      <c r="E125" s="218">
        <f t="shared" si="2"/>
        <v>8675.9643915529541</v>
      </c>
      <c r="F125" s="162"/>
    </row>
    <row r="126" spans="1:8" x14ac:dyDescent="0.25">
      <c r="A126" s="176" t="s">
        <v>459</v>
      </c>
      <c r="B126" s="24" t="s">
        <v>612</v>
      </c>
      <c r="C126" s="241">
        <v>1</v>
      </c>
      <c r="D126" s="162">
        <v>67.915895748994743</v>
      </c>
      <c r="E126" s="218">
        <f t="shared" si="2"/>
        <v>67.915895748994743</v>
      </c>
      <c r="F126" s="162"/>
    </row>
    <row r="127" spans="1:8" x14ac:dyDescent="0.25">
      <c r="A127" s="176" t="s">
        <v>459</v>
      </c>
      <c r="B127" s="24" t="s">
        <v>626</v>
      </c>
      <c r="C127" s="241">
        <v>50</v>
      </c>
      <c r="D127" s="162">
        <v>1.9348374609503725E-3</v>
      </c>
      <c r="E127" s="218">
        <f t="shared" si="2"/>
        <v>9.674187304751862E-2</v>
      </c>
      <c r="F127" s="162"/>
    </row>
    <row r="128" spans="1:8" x14ac:dyDescent="0.25">
      <c r="A128" s="217" t="s">
        <v>459</v>
      </c>
      <c r="B128" s="123" t="s">
        <v>627</v>
      </c>
      <c r="C128" s="242">
        <v>50</v>
      </c>
      <c r="D128" s="218">
        <v>1.0454363700296368E-3</v>
      </c>
      <c r="E128" s="218">
        <f t="shared" si="2"/>
        <v>5.227181850148184E-2</v>
      </c>
      <c r="F128" s="162"/>
    </row>
    <row r="129" spans="1:6" x14ac:dyDescent="0.25">
      <c r="A129" s="217" t="s">
        <v>459</v>
      </c>
      <c r="B129" s="123" t="s">
        <v>628</v>
      </c>
      <c r="C129" s="242">
        <v>50</v>
      </c>
      <c r="D129" s="218">
        <v>16.68</v>
      </c>
      <c r="E129" s="218">
        <f t="shared" si="2"/>
        <v>834</v>
      </c>
      <c r="F129" s="162"/>
    </row>
    <row r="130" spans="1:6" x14ac:dyDescent="0.25">
      <c r="A130" s="217" t="s">
        <v>459</v>
      </c>
      <c r="B130" s="123" t="s">
        <v>682</v>
      </c>
      <c r="C130" s="242">
        <v>50</v>
      </c>
      <c r="D130" s="218">
        <v>40.268300000000004</v>
      </c>
      <c r="E130" s="218">
        <f t="shared" si="2"/>
        <v>2013.4150000000002</v>
      </c>
      <c r="F130" s="162"/>
    </row>
    <row r="131" spans="1:6" x14ac:dyDescent="0.25">
      <c r="A131" s="217" t="s">
        <v>459</v>
      </c>
      <c r="B131" s="123" t="s">
        <v>683</v>
      </c>
      <c r="C131" s="242">
        <v>50</v>
      </c>
      <c r="D131" s="218">
        <v>0</v>
      </c>
      <c r="E131" s="218">
        <f t="shared" si="2"/>
        <v>0</v>
      </c>
      <c r="F131" s="162">
        <f>SUM(E114:E131)</f>
        <v>41855.141331975232</v>
      </c>
    </row>
    <row r="132" spans="1:6" x14ac:dyDescent="0.25">
      <c r="A132" s="119" t="s">
        <v>566</v>
      </c>
      <c r="B132" s="119" t="s">
        <v>566</v>
      </c>
      <c r="C132" s="243">
        <v>3744.5</v>
      </c>
      <c r="D132" s="218">
        <v>19.27213175825861</v>
      </c>
      <c r="E132" s="162">
        <f t="shared" si="2"/>
        <v>72164.497368799362</v>
      </c>
      <c r="F132" s="162">
        <f>E132</f>
        <v>72164.497368799362</v>
      </c>
    </row>
    <row r="133" spans="1:6" x14ac:dyDescent="0.25">
      <c r="A133" s="123" t="s">
        <v>592</v>
      </c>
      <c r="B133" s="123" t="s">
        <v>584</v>
      </c>
      <c r="C133" s="242">
        <v>5000</v>
      </c>
      <c r="D133" s="218">
        <v>0.19985799001053217</v>
      </c>
      <c r="E133" s="162">
        <f t="shared" si="2"/>
        <v>999.28995005266086</v>
      </c>
      <c r="F133" s="162"/>
    </row>
    <row r="134" spans="1:6" x14ac:dyDescent="0.25">
      <c r="A134" s="123" t="s">
        <v>592</v>
      </c>
      <c r="B134" s="123" t="s">
        <v>585</v>
      </c>
      <c r="C134" s="242">
        <v>5000</v>
      </c>
      <c r="D134" s="218">
        <v>0.21037612266179354</v>
      </c>
      <c r="E134" s="162">
        <f t="shared" si="2"/>
        <v>1051.8806133089677</v>
      </c>
      <c r="F134" s="162"/>
    </row>
    <row r="135" spans="1:6" x14ac:dyDescent="0.25">
      <c r="A135" s="123" t="s">
        <v>592</v>
      </c>
      <c r="B135" s="123" t="s">
        <v>586</v>
      </c>
      <c r="C135" s="242">
        <v>5000</v>
      </c>
      <c r="D135" s="218">
        <v>0.4092897457558467</v>
      </c>
      <c r="E135" s="162">
        <f t="shared" si="2"/>
        <v>2046.4487287792335</v>
      </c>
      <c r="F135" s="162"/>
    </row>
    <row r="136" spans="1:6" x14ac:dyDescent="0.25">
      <c r="A136" s="123" t="s">
        <v>592</v>
      </c>
      <c r="B136" s="123" t="s">
        <v>587</v>
      </c>
      <c r="C136" s="242">
        <v>5000</v>
      </c>
      <c r="D136" s="218">
        <v>0.19578401233608192</v>
      </c>
      <c r="E136" s="162">
        <f t="shared" si="2"/>
        <v>978.92006168040962</v>
      </c>
      <c r="F136" s="162"/>
    </row>
    <row r="137" spans="1:6" x14ac:dyDescent="0.25">
      <c r="A137" s="123" t="s">
        <v>592</v>
      </c>
      <c r="B137" s="123" t="s">
        <v>588</v>
      </c>
      <c r="C137" s="242">
        <v>5000</v>
      </c>
      <c r="D137" s="218">
        <v>0.26205280592500851</v>
      </c>
      <c r="E137" s="162">
        <f t="shared" si="2"/>
        <v>1310.2640296250427</v>
      </c>
      <c r="F137" s="162"/>
    </row>
    <row r="138" spans="1:6" x14ac:dyDescent="0.25">
      <c r="A138" s="24" t="s">
        <v>592</v>
      </c>
      <c r="B138" s="24" t="s">
        <v>594</v>
      </c>
      <c r="C138" s="241">
        <v>5000</v>
      </c>
      <c r="D138" s="162">
        <v>0.53353165454537188</v>
      </c>
      <c r="E138" s="162">
        <f t="shared" si="2"/>
        <v>2667.6582727268592</v>
      </c>
      <c r="F138" s="162"/>
    </row>
    <row r="139" spans="1:6" x14ac:dyDescent="0.25">
      <c r="A139" s="24" t="s">
        <v>592</v>
      </c>
      <c r="B139" s="24" t="s">
        <v>598</v>
      </c>
      <c r="C139" s="241">
        <v>3000</v>
      </c>
      <c r="D139" s="162">
        <v>11.295918765072376</v>
      </c>
      <c r="E139" s="162">
        <f t="shared" si="2"/>
        <v>33887.756295217128</v>
      </c>
      <c r="F139" s="162"/>
    </row>
    <row r="140" spans="1:6" x14ac:dyDescent="0.25">
      <c r="A140" s="24" t="s">
        <v>592</v>
      </c>
      <c r="B140" s="24" t="s">
        <v>597</v>
      </c>
      <c r="C140" s="241">
        <v>3000</v>
      </c>
      <c r="D140" s="162">
        <v>9.9918713152089769</v>
      </c>
      <c r="E140" s="162">
        <f t="shared" si="2"/>
        <v>29975.61394562693</v>
      </c>
      <c r="F140" s="162"/>
    </row>
    <row r="141" spans="1:6" x14ac:dyDescent="0.25">
      <c r="A141" s="24" t="s">
        <v>592</v>
      </c>
      <c r="B141" s="24" t="s">
        <v>595</v>
      </c>
      <c r="C141" s="241">
        <v>100</v>
      </c>
      <c r="D141" s="162">
        <v>2.9822097972961026</v>
      </c>
      <c r="E141" s="162">
        <f t="shared" si="2"/>
        <v>298.22097972961024</v>
      </c>
      <c r="F141" s="162"/>
    </row>
    <row r="142" spans="1:6" x14ac:dyDescent="0.25">
      <c r="A142" s="24" t="s">
        <v>592</v>
      </c>
      <c r="B142" s="24" t="s">
        <v>596</v>
      </c>
      <c r="C142" s="241">
        <v>100</v>
      </c>
      <c r="D142" s="162">
        <v>2.477026716879823</v>
      </c>
      <c r="E142" s="162">
        <f t="shared" si="2"/>
        <v>247.7026716879823</v>
      </c>
      <c r="F142" s="162"/>
    </row>
    <row r="143" spans="1:6" x14ac:dyDescent="0.25">
      <c r="A143" s="24" t="s">
        <v>592</v>
      </c>
      <c r="B143" s="24" t="s">
        <v>649</v>
      </c>
      <c r="C143" s="241">
        <v>20</v>
      </c>
      <c r="D143" s="162">
        <v>126.03646809776828</v>
      </c>
      <c r="E143" s="162">
        <f t="shared" si="2"/>
        <v>2520.7293619553657</v>
      </c>
      <c r="F143" s="162"/>
    </row>
    <row r="144" spans="1:6" x14ac:dyDescent="0.25">
      <c r="A144" s="24" t="s">
        <v>592</v>
      </c>
      <c r="B144" s="24" t="s">
        <v>602</v>
      </c>
      <c r="C144" s="241">
        <v>50</v>
      </c>
      <c r="D144" s="162">
        <v>21.185096920682696</v>
      </c>
      <c r="E144" s="162">
        <f t="shared" si="2"/>
        <v>1059.2548460341347</v>
      </c>
      <c r="F144" s="162"/>
    </row>
    <row r="145" spans="1:6" x14ac:dyDescent="0.25">
      <c r="A145" s="24" t="s">
        <v>592</v>
      </c>
      <c r="B145" s="24" t="s">
        <v>603</v>
      </c>
      <c r="C145" s="241">
        <v>50</v>
      </c>
      <c r="D145" s="162">
        <v>21.185096920682696</v>
      </c>
      <c r="E145" s="162">
        <f t="shared" si="2"/>
        <v>1059.2548460341347</v>
      </c>
      <c r="F145" s="162"/>
    </row>
    <row r="146" spans="1:6" x14ac:dyDescent="0.25">
      <c r="A146" s="24" t="s">
        <v>592</v>
      </c>
      <c r="B146" s="24" t="s">
        <v>607</v>
      </c>
      <c r="C146" s="241">
        <v>50</v>
      </c>
      <c r="D146" s="162">
        <v>68.021292337133843</v>
      </c>
      <c r="E146" s="162">
        <f t="shared" si="2"/>
        <v>3401.0646168566923</v>
      </c>
      <c r="F146" s="162"/>
    </row>
    <row r="147" spans="1:6" x14ac:dyDescent="0.25">
      <c r="A147" s="24" t="s">
        <v>592</v>
      </c>
      <c r="B147" s="24" t="s">
        <v>602</v>
      </c>
      <c r="C147" s="241">
        <v>20</v>
      </c>
      <c r="D147" s="162">
        <v>24.395453915586149</v>
      </c>
      <c r="E147" s="162">
        <f t="shared" si="2"/>
        <v>487.90907831172296</v>
      </c>
      <c r="F147" s="162"/>
    </row>
    <row r="148" spans="1:6" x14ac:dyDescent="0.25">
      <c r="A148" s="24" t="s">
        <v>592</v>
      </c>
      <c r="B148" s="24" t="s">
        <v>603</v>
      </c>
      <c r="C148" s="241">
        <v>20</v>
      </c>
      <c r="D148" s="162">
        <v>24.395453915586149</v>
      </c>
      <c r="E148" s="162">
        <f t="shared" si="2"/>
        <v>487.90907831172296</v>
      </c>
      <c r="F148" s="162"/>
    </row>
    <row r="149" spans="1:6" x14ac:dyDescent="0.25">
      <c r="A149" s="24" t="s">
        <v>592</v>
      </c>
      <c r="B149" s="24" t="s">
        <v>629</v>
      </c>
      <c r="C149" s="241">
        <v>5</v>
      </c>
      <c r="D149" s="162">
        <v>105.0481621800282</v>
      </c>
      <c r="E149" s="162">
        <f t="shared" si="2"/>
        <v>525.24081090014101</v>
      </c>
      <c r="F149" s="162"/>
    </row>
    <row r="150" spans="1:6" x14ac:dyDescent="0.25">
      <c r="A150" s="24" t="s">
        <v>592</v>
      </c>
      <c r="B150" s="24" t="s">
        <v>604</v>
      </c>
      <c r="C150" s="241">
        <v>5</v>
      </c>
      <c r="D150" s="162">
        <v>426.74906201498771</v>
      </c>
      <c r="E150" s="162">
        <f t="shared" si="2"/>
        <v>2133.7453100749385</v>
      </c>
      <c r="F150" s="162"/>
    </row>
    <row r="151" spans="1:6" x14ac:dyDescent="0.25">
      <c r="A151" s="24" t="s">
        <v>592</v>
      </c>
      <c r="B151" s="24" t="s">
        <v>607</v>
      </c>
      <c r="C151" s="241">
        <v>5</v>
      </c>
      <c r="D151" s="162">
        <v>76.029253571369154</v>
      </c>
      <c r="E151" s="162">
        <f t="shared" si="2"/>
        <v>380.14626785684578</v>
      </c>
      <c r="F151" s="162">
        <f>SUM(E133:E151)</f>
        <v>85519.009764770526</v>
      </c>
    </row>
    <row r="152" spans="1:6" x14ac:dyDescent="0.25">
      <c r="A152" s="216" t="s">
        <v>580</v>
      </c>
      <c r="B152" s="24" t="s">
        <v>611</v>
      </c>
      <c r="C152" s="241">
        <v>200</v>
      </c>
      <c r="D152" s="162">
        <v>137.74588343444179</v>
      </c>
      <c r="E152" s="162">
        <f t="shared" si="2"/>
        <v>27549.176686888357</v>
      </c>
      <c r="F152" s="162"/>
    </row>
    <row r="153" spans="1:6" x14ac:dyDescent="0.25">
      <c r="A153" s="216" t="s">
        <v>580</v>
      </c>
      <c r="B153" s="24" t="s">
        <v>612</v>
      </c>
      <c r="C153" s="241">
        <v>200</v>
      </c>
      <c r="D153" s="162">
        <v>71.323861843926394</v>
      </c>
      <c r="E153" s="162">
        <f t="shared" si="2"/>
        <v>14264.772368785279</v>
      </c>
      <c r="F153" s="162"/>
    </row>
    <row r="154" spans="1:6" x14ac:dyDescent="0.25">
      <c r="A154" s="216" t="s">
        <v>580</v>
      </c>
      <c r="B154" s="24" t="s">
        <v>613</v>
      </c>
      <c r="C154" s="241">
        <v>100</v>
      </c>
      <c r="D154" s="162">
        <v>6.6939134737718483E-4</v>
      </c>
      <c r="E154" s="162">
        <f t="shared" si="2"/>
        <v>6.6939134737718481E-2</v>
      </c>
      <c r="F154" s="162"/>
    </row>
    <row r="155" spans="1:6" x14ac:dyDescent="0.25">
      <c r="A155" s="216" t="s">
        <v>580</v>
      </c>
      <c r="B155" s="24" t="s">
        <v>526</v>
      </c>
      <c r="C155" s="241">
        <v>20000</v>
      </c>
      <c r="D155" s="162">
        <v>2.787862106853968</v>
      </c>
      <c r="E155" s="162">
        <f t="shared" si="2"/>
        <v>55757.24213707936</v>
      </c>
      <c r="F155" s="162"/>
    </row>
    <row r="156" spans="1:6" x14ac:dyDescent="0.25">
      <c r="A156" s="216" t="s">
        <v>580</v>
      </c>
      <c r="B156" s="24" t="s">
        <v>604</v>
      </c>
      <c r="C156" s="241">
        <v>10</v>
      </c>
      <c r="D156" s="162">
        <v>121.30845272597551</v>
      </c>
      <c r="E156" s="162">
        <f t="shared" si="2"/>
        <v>1213.0845272597551</v>
      </c>
      <c r="F156" s="162"/>
    </row>
    <row r="157" spans="1:6" x14ac:dyDescent="0.25">
      <c r="A157" s="216" t="s">
        <v>580</v>
      </c>
      <c r="B157" s="24" t="s">
        <v>610</v>
      </c>
      <c r="C157" s="241">
        <v>30000</v>
      </c>
      <c r="D157" s="162">
        <v>0.11388899326282415</v>
      </c>
      <c r="E157" s="162">
        <f t="shared" si="2"/>
        <v>3416.6697978847242</v>
      </c>
      <c r="F157" s="162"/>
    </row>
    <row r="158" spans="1:6" x14ac:dyDescent="0.25">
      <c r="A158" s="216" t="s">
        <v>580</v>
      </c>
      <c r="B158" s="24" t="s">
        <v>614</v>
      </c>
      <c r="C158" s="241">
        <v>20000</v>
      </c>
      <c r="D158" s="162">
        <v>0.24852039840099427</v>
      </c>
      <c r="E158" s="162">
        <f t="shared" si="2"/>
        <v>4970.4079680198856</v>
      </c>
      <c r="F158" s="162"/>
    </row>
    <row r="159" spans="1:6" x14ac:dyDescent="0.25">
      <c r="A159" s="216" t="s">
        <v>580</v>
      </c>
      <c r="B159" s="24" t="s">
        <v>609</v>
      </c>
      <c r="C159" s="241">
        <v>20000</v>
      </c>
      <c r="D159" s="162">
        <v>0.17633673328194494</v>
      </c>
      <c r="E159" s="162">
        <f t="shared" si="2"/>
        <v>3526.7346656388986</v>
      </c>
      <c r="F159" s="162"/>
    </row>
    <row r="160" spans="1:6" x14ac:dyDescent="0.25">
      <c r="A160" s="216" t="s">
        <v>580</v>
      </c>
      <c r="B160" s="24" t="s">
        <v>608</v>
      </c>
      <c r="C160" s="241">
        <v>6000</v>
      </c>
      <c r="D160" s="162">
        <v>0.34678629304026587</v>
      </c>
      <c r="E160" s="162">
        <f t="shared" si="2"/>
        <v>2080.7177582415952</v>
      </c>
      <c r="F160" s="162"/>
    </row>
    <row r="161" spans="1:6" x14ac:dyDescent="0.25">
      <c r="A161" s="216" t="s">
        <v>580</v>
      </c>
      <c r="B161" s="24" t="s">
        <v>615</v>
      </c>
      <c r="C161" s="241">
        <v>20</v>
      </c>
      <c r="D161" s="162">
        <v>51.123899848003674</v>
      </c>
      <c r="E161" s="162">
        <f t="shared" si="2"/>
        <v>1022.4779969600735</v>
      </c>
      <c r="F161" s="162"/>
    </row>
    <row r="162" spans="1:6" x14ac:dyDescent="0.25">
      <c r="A162" s="216" t="s">
        <v>580</v>
      </c>
      <c r="B162" s="24" t="s">
        <v>671</v>
      </c>
      <c r="C162" s="241">
        <v>25</v>
      </c>
      <c r="D162" s="162">
        <v>348.95310375800273</v>
      </c>
      <c r="E162" s="162">
        <f t="shared" si="2"/>
        <v>8723.8275939500672</v>
      </c>
      <c r="F162" s="162"/>
    </row>
    <row r="163" spans="1:6" x14ac:dyDescent="0.25">
      <c r="A163" s="216" t="s">
        <v>580</v>
      </c>
      <c r="B163" s="24" t="s">
        <v>672</v>
      </c>
      <c r="C163" s="241">
        <v>25</v>
      </c>
      <c r="D163" s="162">
        <v>292.4269047465628</v>
      </c>
      <c r="E163" s="162">
        <f t="shared" si="2"/>
        <v>7310.6726186640699</v>
      </c>
      <c r="F163" s="162"/>
    </row>
    <row r="164" spans="1:6" x14ac:dyDescent="0.25">
      <c r="A164" s="216" t="s">
        <v>580</v>
      </c>
      <c r="B164" s="24" t="s">
        <v>616</v>
      </c>
      <c r="C164" s="241">
        <v>10</v>
      </c>
      <c r="D164" s="162">
        <v>36.319041480335294</v>
      </c>
      <c r="E164" s="162">
        <f t="shared" si="2"/>
        <v>363.19041480335295</v>
      </c>
      <c r="F164" s="162"/>
    </row>
    <row r="165" spans="1:6" x14ac:dyDescent="0.25">
      <c r="A165" s="216" t="s">
        <v>580</v>
      </c>
      <c r="B165" s="24" t="s">
        <v>617</v>
      </c>
      <c r="C165" s="241">
        <v>2</v>
      </c>
      <c r="D165" s="162">
        <v>730.40399938968676</v>
      </c>
      <c r="E165" s="162">
        <f t="shared" si="2"/>
        <v>1460.8079987793735</v>
      </c>
      <c r="F165" s="162"/>
    </row>
    <row r="166" spans="1:6" x14ac:dyDescent="0.25">
      <c r="A166" s="216" t="s">
        <v>580</v>
      </c>
      <c r="B166" s="24" t="s">
        <v>565</v>
      </c>
      <c r="C166" s="241">
        <v>1</v>
      </c>
      <c r="D166" s="162">
        <v>250000</v>
      </c>
      <c r="E166" s="162">
        <f t="shared" si="2"/>
        <v>250000</v>
      </c>
      <c r="F166" s="162"/>
    </row>
    <row r="167" spans="1:6" x14ac:dyDescent="0.25">
      <c r="A167" s="216" t="s">
        <v>580</v>
      </c>
      <c r="B167" s="24" t="s">
        <v>582</v>
      </c>
      <c r="C167" s="241">
        <v>10000</v>
      </c>
      <c r="D167" s="162">
        <v>5.7951279177186898E-2</v>
      </c>
      <c r="E167" s="162">
        <f t="shared" si="2"/>
        <v>579.51279177186893</v>
      </c>
      <c r="F167" s="162"/>
    </row>
    <row r="168" spans="1:6" x14ac:dyDescent="0.25">
      <c r="A168" s="216" t="s">
        <v>580</v>
      </c>
      <c r="B168" s="24" t="s">
        <v>673</v>
      </c>
      <c r="C168" s="241">
        <v>25</v>
      </c>
      <c r="D168" s="162">
        <v>370.21378741860161</v>
      </c>
      <c r="E168" s="162">
        <f t="shared" si="2"/>
        <v>9255.344685465041</v>
      </c>
      <c r="F168" s="162"/>
    </row>
    <row r="169" spans="1:6" x14ac:dyDescent="0.25">
      <c r="A169" s="216" t="s">
        <v>580</v>
      </c>
      <c r="B169" s="24" t="s">
        <v>674</v>
      </c>
      <c r="C169" s="241">
        <v>25</v>
      </c>
      <c r="D169" s="162">
        <v>310.24361377912192</v>
      </c>
      <c r="E169" s="162">
        <f t="shared" si="2"/>
        <v>7756.0903444780479</v>
      </c>
      <c r="F169" s="162">
        <v>399250.79729380447</v>
      </c>
    </row>
    <row r="171" spans="1:6" ht="15.75" thickBot="1" x14ac:dyDescent="0.3">
      <c r="E171" s="269">
        <f>SUM(E114:E169)</f>
        <v>598789.44575934962</v>
      </c>
      <c r="F171" s="269">
        <f>SUM(F114:F169)</f>
        <v>598789.44575934962</v>
      </c>
    </row>
    <row r="172" spans="1:6" ht="15.75" thickTop="1" x14ac:dyDescent="0.25">
      <c r="E172" s="270"/>
      <c r="F172" s="270"/>
    </row>
    <row r="173" spans="1:6" x14ac:dyDescent="0.25">
      <c r="E173" s="270"/>
      <c r="F173" s="270"/>
    </row>
    <row r="174" spans="1:6" ht="15.75" thickBot="1" x14ac:dyDescent="0.3">
      <c r="E174" s="271">
        <f>E171+E111</f>
        <v>1564374.111759979</v>
      </c>
      <c r="F174" s="271">
        <f>F171+F111</f>
        <v>1564374.1117599793</v>
      </c>
    </row>
    <row r="175" spans="1:6" ht="15.75" thickTop="1" x14ac:dyDescent="0.25">
      <c r="E175" s="33"/>
      <c r="F175" s="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9">
    <pageSetUpPr fitToPage="1"/>
  </sheetPr>
  <dimension ref="A1:D41"/>
  <sheetViews>
    <sheetView workbookViewId="0">
      <selection activeCell="G36" sqref="G36"/>
    </sheetView>
  </sheetViews>
  <sheetFormatPr defaultColWidth="9.140625" defaultRowHeight="15" x14ac:dyDescent="0.25"/>
  <cols>
    <col min="1" max="1" width="33.140625" style="1" customWidth="1"/>
    <col min="2" max="2" width="16.140625" style="1" bestFit="1" customWidth="1"/>
    <col min="3" max="3" width="15.28515625" style="1" customWidth="1"/>
    <col min="4" max="4" width="15.28515625" style="130" bestFit="1" customWidth="1"/>
    <col min="5" max="16384" width="9.140625" style="1"/>
  </cols>
  <sheetData>
    <row r="1" spans="1:4" ht="21" x14ac:dyDescent="0.35">
      <c r="A1" s="286" t="s">
        <v>625</v>
      </c>
      <c r="B1" s="286"/>
      <c r="C1" s="286"/>
      <c r="D1" s="128"/>
    </row>
    <row r="2" spans="1:4" x14ac:dyDescent="0.25">
      <c r="D2" s="95"/>
    </row>
    <row r="3" spans="1:4" x14ac:dyDescent="0.25">
      <c r="A3" s="171" t="s">
        <v>60</v>
      </c>
      <c r="B3" s="76" t="s">
        <v>61</v>
      </c>
      <c r="C3" s="76" t="s">
        <v>457</v>
      </c>
    </row>
    <row r="4" spans="1:4" ht="15.75" thickBot="1" x14ac:dyDescent="0.3">
      <c r="A4" s="168" t="s">
        <v>580</v>
      </c>
      <c r="B4" s="94">
        <v>789743.53204399999</v>
      </c>
      <c r="C4" s="146">
        <v>2085404.4457350676</v>
      </c>
      <c r="D4" s="131"/>
    </row>
    <row r="5" spans="1:4" ht="15.75" thickTop="1" x14ac:dyDescent="0.25">
      <c r="A5" s="169" t="s">
        <v>581</v>
      </c>
      <c r="B5" s="96">
        <f>SUM(B4)</f>
        <v>789743.53204399999</v>
      </c>
      <c r="C5" s="147">
        <f>SUM(C4)</f>
        <v>2085404.4457350676</v>
      </c>
      <c r="D5" s="131"/>
    </row>
    <row r="6" spans="1:4" x14ac:dyDescent="0.25">
      <c r="A6" s="178"/>
      <c r="B6" s="91"/>
      <c r="C6" s="147"/>
      <c r="D6" s="131"/>
    </row>
    <row r="7" spans="1:4" x14ac:dyDescent="0.25">
      <c r="A7" s="169" t="s">
        <v>459</v>
      </c>
      <c r="B7" s="91">
        <v>2143328.54</v>
      </c>
      <c r="C7" s="163">
        <v>925266.23544787581</v>
      </c>
      <c r="D7" s="173"/>
    </row>
    <row r="8" spans="1:4" x14ac:dyDescent="0.25">
      <c r="A8" s="169" t="s">
        <v>646</v>
      </c>
      <c r="B8" s="91">
        <v>4356000</v>
      </c>
      <c r="C8" s="163">
        <v>861439.66142879799</v>
      </c>
      <c r="D8" s="173"/>
    </row>
    <row r="9" spans="1:4" x14ac:dyDescent="0.25">
      <c r="A9" s="169" t="s">
        <v>624</v>
      </c>
      <c r="B9" s="91">
        <v>260000</v>
      </c>
      <c r="C9" s="163">
        <v>279502.82643973542</v>
      </c>
      <c r="D9" s="173"/>
    </row>
    <row r="10" spans="1:4" x14ac:dyDescent="0.25">
      <c r="A10" s="169" t="s">
        <v>536</v>
      </c>
      <c r="B10" s="91">
        <v>1311023</v>
      </c>
      <c r="C10" s="164">
        <v>803739.49336296204</v>
      </c>
      <c r="D10" s="173"/>
    </row>
    <row r="11" spans="1:4" ht="15.75" thickBot="1" x14ac:dyDescent="0.3">
      <c r="A11" s="168" t="s">
        <v>592</v>
      </c>
      <c r="B11" s="94">
        <v>413975.67231814784</v>
      </c>
      <c r="C11" s="165">
        <v>169207.91896868579</v>
      </c>
      <c r="D11" s="173"/>
    </row>
    <row r="12" spans="1:4" ht="15.75" thickTop="1" x14ac:dyDescent="0.25">
      <c r="A12" s="169" t="s">
        <v>618</v>
      </c>
      <c r="B12" s="91">
        <f>SUM(B7:B11)</f>
        <v>8484327.2123181485</v>
      </c>
      <c r="C12" s="147">
        <f>SUM(C7:C11)</f>
        <v>3039156.1356480569</v>
      </c>
      <c r="D12" s="173"/>
    </row>
    <row r="13" spans="1:4" x14ac:dyDescent="0.25">
      <c r="A13" s="178"/>
      <c r="B13" s="91"/>
      <c r="C13" s="147"/>
      <c r="D13" s="173"/>
    </row>
    <row r="14" spans="1:4" x14ac:dyDescent="0.25">
      <c r="A14" s="169" t="s">
        <v>460</v>
      </c>
      <c r="B14" s="91">
        <v>9866089</v>
      </c>
      <c r="C14" s="147">
        <v>2805259.3800774235</v>
      </c>
      <c r="D14" s="173"/>
    </row>
    <row r="15" spans="1:4" x14ac:dyDescent="0.25">
      <c r="A15" s="169" t="s">
        <v>461</v>
      </c>
      <c r="B15" s="91">
        <v>7255338.75</v>
      </c>
      <c r="C15" s="147">
        <v>2154842.0375886834</v>
      </c>
      <c r="D15" s="173"/>
    </row>
    <row r="16" spans="1:4" x14ac:dyDescent="0.25">
      <c r="A16" s="169" t="s">
        <v>76</v>
      </c>
      <c r="B16" s="91">
        <v>18809000</v>
      </c>
      <c r="C16" s="147">
        <v>5965922.5667786244</v>
      </c>
      <c r="D16" s="173"/>
    </row>
    <row r="17" spans="1:4" x14ac:dyDescent="0.25">
      <c r="A17" s="169" t="s">
        <v>462</v>
      </c>
      <c r="B17" s="91">
        <v>160500</v>
      </c>
      <c r="C17" s="147">
        <v>73620.238188777657</v>
      </c>
      <c r="D17" s="173"/>
    </row>
    <row r="18" spans="1:4" x14ac:dyDescent="0.25">
      <c r="A18" s="169" t="s">
        <v>509</v>
      </c>
      <c r="B18" s="91">
        <v>773800</v>
      </c>
      <c r="C18" s="147">
        <v>186202.3014914841</v>
      </c>
      <c r="D18" s="173"/>
    </row>
    <row r="19" spans="1:4" x14ac:dyDescent="0.25">
      <c r="A19" s="169" t="s">
        <v>623</v>
      </c>
      <c r="B19" s="91">
        <v>1600000</v>
      </c>
      <c r="C19" s="147">
        <v>495802.72425354994</v>
      </c>
      <c r="D19" s="173"/>
    </row>
    <row r="20" spans="1:4" x14ac:dyDescent="0.25">
      <c r="A20" s="169" t="s">
        <v>463</v>
      </c>
      <c r="B20" s="91">
        <v>40685</v>
      </c>
      <c r="C20" s="147">
        <v>8834.5538585217073</v>
      </c>
      <c r="D20" s="173"/>
    </row>
    <row r="21" spans="1:4" x14ac:dyDescent="0.25">
      <c r="A21" s="169" t="s">
        <v>449</v>
      </c>
      <c r="B21" s="91">
        <v>412500</v>
      </c>
      <c r="C21" s="147">
        <v>53700.190383070178</v>
      </c>
      <c r="D21" s="173"/>
    </row>
    <row r="22" spans="1:4" x14ac:dyDescent="0.25">
      <c r="A22" s="169" t="s">
        <v>572</v>
      </c>
      <c r="B22" s="91">
        <v>70814.5</v>
      </c>
      <c r="C22" s="147">
        <v>11923.492305034266</v>
      </c>
      <c r="D22" s="173"/>
    </row>
    <row r="23" spans="1:4" x14ac:dyDescent="0.25">
      <c r="A23" s="179" t="s">
        <v>508</v>
      </c>
      <c r="B23" s="91">
        <v>169744</v>
      </c>
      <c r="C23" s="147">
        <v>42246.638395992355</v>
      </c>
      <c r="D23" s="173"/>
    </row>
    <row r="24" spans="1:4" ht="15.75" thickBot="1" x14ac:dyDescent="0.3">
      <c r="A24" s="180" t="s">
        <v>621</v>
      </c>
      <c r="B24" s="94">
        <v>42000</v>
      </c>
      <c r="C24" s="146">
        <v>10769.066863078167</v>
      </c>
      <c r="D24" s="173"/>
    </row>
    <row r="25" spans="1:4" ht="15.75" thickTop="1" x14ac:dyDescent="0.25">
      <c r="A25" s="169" t="s">
        <v>620</v>
      </c>
      <c r="B25" s="91">
        <f>SUM(B14:B24)</f>
        <v>39200471.25</v>
      </c>
      <c r="C25" s="147">
        <f>SUM(C14:C24)</f>
        <v>11809123.190184243</v>
      </c>
      <c r="D25" s="173"/>
    </row>
    <row r="26" spans="1:4" x14ac:dyDescent="0.25">
      <c r="A26" s="169"/>
      <c r="B26" s="91"/>
      <c r="C26" s="147"/>
      <c r="D26" s="131"/>
    </row>
    <row r="27" spans="1:4" ht="15.75" thickBot="1" x14ac:dyDescent="0.3">
      <c r="A27" s="168" t="s">
        <v>454</v>
      </c>
      <c r="B27" s="94">
        <f>B25+B12</f>
        <v>47684798.462318152</v>
      </c>
      <c r="C27" s="146">
        <f>C25+C12</f>
        <v>14848279.3258323</v>
      </c>
      <c r="D27" s="131"/>
    </row>
    <row r="28" spans="1:4" ht="15.75" thickTop="1" x14ac:dyDescent="0.25">
      <c r="A28" s="169"/>
      <c r="B28" s="90"/>
      <c r="C28" s="147"/>
      <c r="D28" s="131"/>
    </row>
    <row r="29" spans="1:4" ht="15.75" thickBot="1" x14ac:dyDescent="0.3">
      <c r="A29" s="170" t="s">
        <v>455</v>
      </c>
      <c r="B29" s="94">
        <f>B27+B5</f>
        <v>48474541.994362153</v>
      </c>
      <c r="C29" s="146">
        <f>C27+C5</f>
        <v>16933683.771567367</v>
      </c>
      <c r="D29" s="131"/>
    </row>
    <row r="30" spans="1:4" ht="15.75" thickTop="1" x14ac:dyDescent="0.25">
      <c r="A30" s="171"/>
      <c r="B30" s="90"/>
      <c r="C30" s="147"/>
      <c r="D30" s="131"/>
    </row>
    <row r="31" spans="1:4" ht="15.75" thickBot="1" x14ac:dyDescent="0.3">
      <c r="A31" s="170" t="s">
        <v>583</v>
      </c>
      <c r="B31" s="94">
        <v>0</v>
      </c>
      <c r="C31" s="146">
        <v>390369.15</v>
      </c>
      <c r="D31" s="131"/>
    </row>
    <row r="32" spans="1:4" ht="15.75" thickTop="1" x14ac:dyDescent="0.25">
      <c r="A32" s="171"/>
      <c r="B32" s="90"/>
      <c r="C32" s="147"/>
      <c r="D32" s="132"/>
    </row>
    <row r="33" spans="1:4" ht="15.75" thickBot="1" x14ac:dyDescent="0.3">
      <c r="A33" s="170" t="s">
        <v>456</v>
      </c>
      <c r="B33" s="94">
        <v>4818000</v>
      </c>
      <c r="C33" s="146">
        <v>1358000</v>
      </c>
      <c r="D33" s="133"/>
    </row>
    <row r="34" spans="1:4" ht="15.75" thickTop="1" x14ac:dyDescent="0.25">
      <c r="A34" s="171"/>
      <c r="B34" s="90"/>
      <c r="C34" s="147"/>
    </row>
    <row r="35" spans="1:4" x14ac:dyDescent="0.25">
      <c r="A35" s="171" t="s">
        <v>679</v>
      </c>
      <c r="B35" s="90"/>
      <c r="C35" s="147">
        <v>2000000</v>
      </c>
    </row>
    <row r="36" spans="1:4" ht="15.75" thickBot="1" x14ac:dyDescent="0.3">
      <c r="A36" s="170" t="s">
        <v>593</v>
      </c>
      <c r="B36" s="93"/>
      <c r="C36" s="167">
        <v>1000000</v>
      </c>
      <c r="D36" s="133"/>
    </row>
    <row r="37" spans="1:4" ht="15.75" thickTop="1" x14ac:dyDescent="0.25">
      <c r="A37" s="181" t="s">
        <v>680</v>
      </c>
      <c r="B37" s="95"/>
      <c r="C37" s="182">
        <f>SUM(C35:C36)</f>
        <v>3000000</v>
      </c>
      <c r="D37" s="133"/>
    </row>
    <row r="38" spans="1:4" x14ac:dyDescent="0.25">
      <c r="A38" s="171"/>
      <c r="B38" s="90"/>
      <c r="C38" s="147"/>
    </row>
    <row r="39" spans="1:4" ht="15.75" thickBot="1" x14ac:dyDescent="0.3">
      <c r="A39" s="170" t="s">
        <v>458</v>
      </c>
      <c r="B39" s="97">
        <f>B29+B33</f>
        <v>53292541.994362153</v>
      </c>
      <c r="C39" s="146">
        <f>C29+C31+C33+C37</f>
        <v>21682052.921567366</v>
      </c>
    </row>
    <row r="40" spans="1:4" ht="15.75" thickTop="1" x14ac:dyDescent="0.25">
      <c r="A40" s="76"/>
    </row>
    <row r="41" spans="1:4" x14ac:dyDescent="0.25">
      <c r="B41" s="118"/>
    </row>
  </sheetData>
  <mergeCells count="1">
    <mergeCell ref="A1:C1"/>
  </mergeCells>
  <pageMargins left="0.7" right="0.7" top="0.75" bottom="0.75" header="0.3" footer="0.3"/>
  <pageSetup scale="37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2:W33"/>
  <sheetViews>
    <sheetView tabSelected="1" workbookViewId="0">
      <selection activeCell="L33" sqref="L33"/>
    </sheetView>
  </sheetViews>
  <sheetFormatPr defaultColWidth="9.140625" defaultRowHeight="15" x14ac:dyDescent="0.25"/>
  <cols>
    <col min="1" max="1" width="38.28515625" style="1" bestFit="1" customWidth="1"/>
    <col min="2" max="2" width="11.5703125" style="1" customWidth="1"/>
    <col min="3" max="3" width="11" style="1" hidden="1" customWidth="1"/>
    <col min="4" max="4" width="12.5703125" style="85" hidden="1" customWidth="1"/>
    <col min="5" max="5" width="14.28515625" style="85" hidden="1" customWidth="1"/>
    <col min="6" max="6" width="13.140625" style="85" hidden="1" customWidth="1"/>
    <col min="7" max="7" width="14.28515625" style="85" hidden="1" customWidth="1"/>
    <col min="8" max="8" width="12.42578125" style="85" hidden="1" customWidth="1"/>
    <col min="9" max="9" width="12.5703125" style="85" bestFit="1" customWidth="1"/>
    <col min="10" max="10" width="11.5703125" style="85" hidden="1" customWidth="1"/>
    <col min="11" max="11" width="10.85546875" style="85" hidden="1" customWidth="1"/>
    <col min="12" max="12" width="12.5703125" style="85" customWidth="1"/>
    <col min="13" max="13" width="11.85546875" style="85" hidden="1" customWidth="1"/>
    <col min="14" max="14" width="16.85546875" style="85" hidden="1" customWidth="1"/>
    <col min="15" max="15" width="12.85546875" style="85" hidden="1" customWidth="1"/>
    <col min="16" max="16" width="11.5703125" style="85" customWidth="1"/>
    <col min="17" max="17" width="11.5703125" style="85" hidden="1" customWidth="1"/>
    <col min="18" max="18" width="9.28515625" style="85" hidden="1" customWidth="1"/>
    <col min="19" max="19" width="11.42578125" style="85" customWidth="1"/>
    <col min="20" max="21" width="11.42578125" style="1" hidden="1" customWidth="1"/>
    <col min="22" max="22" width="9.140625" style="1"/>
    <col min="23" max="23" width="11.42578125" style="85" customWidth="1"/>
    <col min="24" max="16384" width="9.140625" style="1"/>
  </cols>
  <sheetData>
    <row r="2" spans="1:23" ht="30" x14ac:dyDescent="0.25">
      <c r="A2" s="84" t="s">
        <v>60</v>
      </c>
      <c r="B2" s="84" t="s">
        <v>61</v>
      </c>
      <c r="C2" s="84" t="s">
        <v>62</v>
      </c>
      <c r="D2" s="135" t="s">
        <v>63</v>
      </c>
      <c r="E2" s="135" t="s">
        <v>64</v>
      </c>
      <c r="F2" s="135" t="s">
        <v>65</v>
      </c>
      <c r="G2" s="237" t="s">
        <v>66</v>
      </c>
      <c r="H2" s="135" t="s">
        <v>67</v>
      </c>
      <c r="I2" s="135" t="s">
        <v>650</v>
      </c>
      <c r="J2" s="135" t="s">
        <v>651</v>
      </c>
      <c r="K2" s="135" t="s">
        <v>652</v>
      </c>
      <c r="L2" s="237" t="s">
        <v>69</v>
      </c>
      <c r="M2" s="237" t="s">
        <v>70</v>
      </c>
      <c r="N2" s="237" t="s">
        <v>71</v>
      </c>
      <c r="O2" s="237" t="s">
        <v>72</v>
      </c>
      <c r="P2" s="237" t="s">
        <v>73</v>
      </c>
      <c r="Q2" s="237" t="s">
        <v>79</v>
      </c>
      <c r="R2" s="237" t="s">
        <v>80</v>
      </c>
      <c r="S2" s="237" t="s">
        <v>74</v>
      </c>
      <c r="T2" s="236" t="s">
        <v>81</v>
      </c>
      <c r="U2" s="236" t="s">
        <v>82</v>
      </c>
      <c r="W2" s="237" t="s">
        <v>570</v>
      </c>
    </row>
    <row r="3" spans="1:23" x14ac:dyDescent="0.25">
      <c r="A3" s="76"/>
      <c r="B3" s="76"/>
      <c r="C3" s="76"/>
      <c r="D3" s="79"/>
      <c r="E3" s="79"/>
      <c r="F3" s="79"/>
      <c r="G3" s="238"/>
      <c r="H3" s="79"/>
      <c r="I3" s="79"/>
      <c r="J3" s="79"/>
      <c r="K3" s="79"/>
      <c r="L3" s="238"/>
      <c r="M3" s="238"/>
      <c r="N3" s="238"/>
      <c r="O3" s="238"/>
      <c r="P3" s="238"/>
      <c r="Q3" s="238"/>
      <c r="R3" s="238"/>
      <c r="S3" s="238"/>
      <c r="T3" s="77"/>
      <c r="U3" s="77"/>
      <c r="W3" s="238"/>
    </row>
    <row r="4" spans="1:23" x14ac:dyDescent="0.25">
      <c r="A4" s="90" t="s">
        <v>580</v>
      </c>
      <c r="B4" s="91">
        <v>789743.53204399999</v>
      </c>
      <c r="C4" s="91">
        <v>0</v>
      </c>
      <c r="D4" s="92">
        <v>1288352.76</v>
      </c>
      <c r="E4" s="92">
        <v>1288352.76</v>
      </c>
      <c r="F4" s="92">
        <v>0</v>
      </c>
      <c r="G4" s="92">
        <v>1598673.5998323355</v>
      </c>
      <c r="H4" s="92">
        <v>0</v>
      </c>
      <c r="I4" s="92">
        <v>2458125.4408538188</v>
      </c>
      <c r="J4" s="92">
        <v>2458125.4408538188</v>
      </c>
      <c r="K4" s="92">
        <v>0</v>
      </c>
      <c r="L4" s="92">
        <v>1520091.8658796651</v>
      </c>
      <c r="M4" s="79">
        <v>0</v>
      </c>
      <c r="N4" s="79">
        <v>1519746.9944878484</v>
      </c>
      <c r="O4" s="79">
        <v>0</v>
      </c>
      <c r="P4" s="79">
        <v>456027.55976389954</v>
      </c>
      <c r="Q4" s="79">
        <v>456027.55976389954</v>
      </c>
      <c r="R4" s="79">
        <v>0</v>
      </c>
      <c r="S4" s="79">
        <v>109285.02009150284</v>
      </c>
      <c r="T4" s="79">
        <v>109285.02009150284</v>
      </c>
      <c r="U4" s="79"/>
      <c r="W4" s="79"/>
    </row>
    <row r="5" spans="1:23" ht="15.75" thickBot="1" x14ac:dyDescent="0.3">
      <c r="A5" s="230" t="s">
        <v>453</v>
      </c>
      <c r="B5" s="232">
        <f>B4</f>
        <v>789743.53204399999</v>
      </c>
      <c r="C5" s="232">
        <f t="shared" ref="C5:S5" si="0">C4</f>
        <v>0</v>
      </c>
      <c r="D5" s="234">
        <f t="shared" si="0"/>
        <v>1288352.76</v>
      </c>
      <c r="E5" s="234">
        <f t="shared" si="0"/>
        <v>1288352.76</v>
      </c>
      <c r="F5" s="234">
        <f t="shared" si="0"/>
        <v>0</v>
      </c>
      <c r="G5" s="234">
        <f t="shared" si="0"/>
        <v>1598673.5998323355</v>
      </c>
      <c r="H5" s="234">
        <f t="shared" si="0"/>
        <v>0</v>
      </c>
      <c r="I5" s="234">
        <f t="shared" si="0"/>
        <v>2458125.4408538188</v>
      </c>
      <c r="J5" s="234">
        <f t="shared" si="0"/>
        <v>2458125.4408538188</v>
      </c>
      <c r="K5" s="234">
        <f t="shared" si="0"/>
        <v>0</v>
      </c>
      <c r="L5" s="234">
        <f t="shared" si="0"/>
        <v>1520091.8658796651</v>
      </c>
      <c r="M5" s="234">
        <f t="shared" si="0"/>
        <v>0</v>
      </c>
      <c r="N5" s="234">
        <f t="shared" si="0"/>
        <v>1519746.9944878484</v>
      </c>
      <c r="O5" s="234">
        <f t="shared" si="0"/>
        <v>0</v>
      </c>
      <c r="P5" s="234">
        <f t="shared" si="0"/>
        <v>456027.55976389954</v>
      </c>
      <c r="Q5" s="234">
        <f t="shared" si="0"/>
        <v>456027.55976389954</v>
      </c>
      <c r="R5" s="234">
        <f t="shared" si="0"/>
        <v>0</v>
      </c>
      <c r="S5" s="234">
        <f t="shared" si="0"/>
        <v>109285.02009150284</v>
      </c>
      <c r="T5" s="231">
        <v>109285.02009150284</v>
      </c>
      <c r="U5" s="233">
        <v>0</v>
      </c>
      <c r="W5" s="234">
        <f>S5+P5</f>
        <v>565312.57985540235</v>
      </c>
    </row>
    <row r="6" spans="1:23" ht="15.75" thickTop="1" x14ac:dyDescent="0.25">
      <c r="A6" s="90"/>
      <c r="B6" s="91"/>
      <c r="C6" s="91"/>
      <c r="D6" s="92"/>
      <c r="E6" s="92"/>
      <c r="F6" s="92"/>
      <c r="G6" s="92"/>
      <c r="H6" s="92"/>
      <c r="I6" s="92"/>
      <c r="J6" s="92"/>
      <c r="K6" s="92"/>
      <c r="L6" s="92"/>
      <c r="M6" s="79"/>
      <c r="N6" s="79"/>
      <c r="O6" s="79"/>
      <c r="P6" s="79"/>
      <c r="Q6" s="79"/>
      <c r="R6" s="79"/>
      <c r="S6" s="79"/>
      <c r="T6" s="79"/>
      <c r="U6" s="79"/>
      <c r="W6" s="79"/>
    </row>
    <row r="7" spans="1:23" x14ac:dyDescent="0.25">
      <c r="A7" s="95" t="s">
        <v>459</v>
      </c>
      <c r="B7" s="91">
        <v>2143328.54</v>
      </c>
      <c r="C7" s="91">
        <v>0</v>
      </c>
      <c r="D7" s="92">
        <v>2779798.0160000003</v>
      </c>
      <c r="E7" s="92">
        <v>2779798.0160000003</v>
      </c>
      <c r="F7" s="92">
        <v>0</v>
      </c>
      <c r="G7" s="92">
        <v>4208060.9135105889</v>
      </c>
      <c r="H7" s="92">
        <v>0</v>
      </c>
      <c r="I7" s="92">
        <v>466109.8037111382</v>
      </c>
      <c r="J7" s="92">
        <v>466109.8037111382</v>
      </c>
      <c r="K7" s="92">
        <v>0</v>
      </c>
      <c r="L7" s="92">
        <v>637604</v>
      </c>
      <c r="M7" s="79">
        <v>0</v>
      </c>
      <c r="N7" s="79">
        <v>3957228.0964211719</v>
      </c>
      <c r="O7" s="79">
        <v>0</v>
      </c>
      <c r="P7" s="79">
        <v>0</v>
      </c>
      <c r="Q7" s="79">
        <v>0</v>
      </c>
      <c r="R7" s="79">
        <v>0</v>
      </c>
      <c r="S7" s="79">
        <v>287662.23544787581</v>
      </c>
      <c r="T7" s="79">
        <v>287662.23544787581</v>
      </c>
      <c r="U7" s="79"/>
      <c r="W7" s="79">
        <f t="shared" ref="W7:W27" si="1">S7+P7</f>
        <v>287662.23544787581</v>
      </c>
    </row>
    <row r="8" spans="1:23" x14ac:dyDescent="0.25">
      <c r="A8" s="95" t="s">
        <v>536</v>
      </c>
      <c r="B8" s="91">
        <v>1311023</v>
      </c>
      <c r="C8" s="91">
        <v>0</v>
      </c>
      <c r="D8" s="92">
        <v>706250</v>
      </c>
      <c r="E8" s="92">
        <v>706250</v>
      </c>
      <c r="F8" s="92">
        <v>0</v>
      </c>
      <c r="G8" s="92">
        <v>1426122.9871203089</v>
      </c>
      <c r="H8" s="92">
        <v>0</v>
      </c>
      <c r="I8" s="92">
        <v>645057.70618145913</v>
      </c>
      <c r="J8" s="92">
        <v>645057.70618145913</v>
      </c>
      <c r="K8" s="92">
        <v>0</v>
      </c>
      <c r="L8" s="92">
        <v>706250</v>
      </c>
      <c r="M8" s="79">
        <v>0</v>
      </c>
      <c r="N8" s="79">
        <v>1221295.1556730908</v>
      </c>
      <c r="O8" s="79">
        <v>0</v>
      </c>
      <c r="P8" s="79">
        <v>0</v>
      </c>
      <c r="Q8" s="79">
        <v>0</v>
      </c>
      <c r="R8" s="79">
        <v>0</v>
      </c>
      <c r="S8" s="79">
        <v>97489.493362961977</v>
      </c>
      <c r="T8" s="79">
        <v>97489.493362961977</v>
      </c>
      <c r="U8" s="79"/>
      <c r="W8" s="79">
        <f t="shared" si="1"/>
        <v>97489.493362961977</v>
      </c>
    </row>
    <row r="9" spans="1:23" x14ac:dyDescent="0.25">
      <c r="A9" s="136" t="s">
        <v>592</v>
      </c>
      <c r="B9" s="91">
        <v>413975.67231814784</v>
      </c>
      <c r="C9" s="91">
        <v>0</v>
      </c>
      <c r="D9" s="92">
        <v>431637.68700000003</v>
      </c>
      <c r="E9" s="92">
        <v>431637.68700000003</v>
      </c>
      <c r="F9" s="92">
        <v>0</v>
      </c>
      <c r="G9" s="92">
        <v>832841.99829422357</v>
      </c>
      <c r="H9" s="92">
        <v>0</v>
      </c>
      <c r="I9" s="92">
        <v>228708.30181729232</v>
      </c>
      <c r="J9" s="92">
        <v>228708.30181729232</v>
      </c>
      <c r="K9" s="92">
        <v>0</v>
      </c>
      <c r="L9" s="92">
        <v>112275</v>
      </c>
      <c r="M9" s="79">
        <v>0</v>
      </c>
      <c r="N9" s="79">
        <v>788147.47256405582</v>
      </c>
      <c r="O9" s="79">
        <v>0</v>
      </c>
      <c r="P9" s="79">
        <v>0</v>
      </c>
      <c r="Q9" s="79">
        <v>0</v>
      </c>
      <c r="R9" s="79">
        <v>0</v>
      </c>
      <c r="S9" s="79">
        <v>56932.918968685801</v>
      </c>
      <c r="T9" s="79">
        <v>56932.918968685801</v>
      </c>
      <c r="U9" s="79"/>
      <c r="W9" s="79">
        <f t="shared" si="1"/>
        <v>56932.918968685801</v>
      </c>
    </row>
    <row r="10" spans="1:23" x14ac:dyDescent="0.25">
      <c r="A10" s="95" t="s">
        <v>646</v>
      </c>
      <c r="B10" s="137">
        <v>4356000</v>
      </c>
      <c r="C10" s="166">
        <v>0</v>
      </c>
      <c r="D10" s="134">
        <v>242</v>
      </c>
      <c r="E10" s="134">
        <v>242</v>
      </c>
      <c r="F10" s="134">
        <v>0</v>
      </c>
      <c r="G10" s="134">
        <v>1103567.4880741159</v>
      </c>
      <c r="H10" s="134">
        <v>0</v>
      </c>
      <c r="I10" s="134">
        <v>0</v>
      </c>
      <c r="J10" s="134">
        <v>0</v>
      </c>
      <c r="K10" s="134">
        <v>0</v>
      </c>
      <c r="L10" s="134">
        <v>726000</v>
      </c>
      <c r="M10" s="134">
        <v>0</v>
      </c>
      <c r="N10" s="134">
        <v>1014467.6519999999</v>
      </c>
      <c r="O10" s="134">
        <v>0</v>
      </c>
      <c r="P10" s="134">
        <v>60000</v>
      </c>
      <c r="Q10" s="134">
        <v>60000</v>
      </c>
      <c r="R10" s="134">
        <v>0</v>
      </c>
      <c r="S10" s="134">
        <v>75439.66142879799</v>
      </c>
      <c r="T10" s="134">
        <v>75439.66142879799</v>
      </c>
      <c r="U10" s="127"/>
      <c r="W10" s="134">
        <f t="shared" si="1"/>
        <v>135439.66142879799</v>
      </c>
    </row>
    <row r="11" spans="1:23" x14ac:dyDescent="0.25">
      <c r="A11" s="95" t="s">
        <v>624</v>
      </c>
      <c r="B11" s="137">
        <v>260000</v>
      </c>
      <c r="C11" s="166">
        <v>0</v>
      </c>
      <c r="D11" s="134">
        <v>0</v>
      </c>
      <c r="E11" s="134">
        <v>0</v>
      </c>
      <c r="F11" s="134">
        <v>0</v>
      </c>
      <c r="G11" s="134">
        <v>65869.501124717659</v>
      </c>
      <c r="H11" s="134">
        <v>0</v>
      </c>
      <c r="I11" s="134">
        <v>0</v>
      </c>
      <c r="J11" s="134">
        <v>0</v>
      </c>
      <c r="K11" s="134">
        <v>0</v>
      </c>
      <c r="L11" s="134">
        <v>260000</v>
      </c>
      <c r="M11" s="134">
        <v>0</v>
      </c>
      <c r="N11" s="134">
        <v>60551.329090909087</v>
      </c>
      <c r="O11" s="134">
        <v>0</v>
      </c>
      <c r="P11" s="134">
        <v>15000</v>
      </c>
      <c r="Q11" s="134">
        <v>15000</v>
      </c>
      <c r="R11" s="134">
        <v>0</v>
      </c>
      <c r="S11" s="134">
        <v>4502.8264397354169</v>
      </c>
      <c r="T11" s="134">
        <v>4502.8264397354169</v>
      </c>
      <c r="U11" s="127"/>
      <c r="W11" s="134">
        <f t="shared" si="1"/>
        <v>19502.826439735418</v>
      </c>
    </row>
    <row r="12" spans="1:23" ht="15.75" thickBot="1" x14ac:dyDescent="0.3">
      <c r="A12" s="230" t="s">
        <v>75</v>
      </c>
      <c r="B12" s="232">
        <f>SUM(B7:B11)</f>
        <v>8484327.2123181485</v>
      </c>
      <c r="C12" s="232">
        <f t="shared" ref="C12:S12" si="2">SUM(C7:C11)</f>
        <v>0</v>
      </c>
      <c r="D12" s="234">
        <f t="shared" si="2"/>
        <v>3917927.7030000002</v>
      </c>
      <c r="E12" s="234">
        <f t="shared" si="2"/>
        <v>3917927.7030000002</v>
      </c>
      <c r="F12" s="234">
        <f t="shared" si="2"/>
        <v>0</v>
      </c>
      <c r="G12" s="234">
        <f t="shared" si="2"/>
        <v>7636462.8881239556</v>
      </c>
      <c r="H12" s="234">
        <f t="shared" si="2"/>
        <v>0</v>
      </c>
      <c r="I12" s="234">
        <f t="shared" si="2"/>
        <v>1339875.8117098897</v>
      </c>
      <c r="J12" s="234">
        <f t="shared" si="2"/>
        <v>1339875.8117098897</v>
      </c>
      <c r="K12" s="234">
        <f t="shared" si="2"/>
        <v>0</v>
      </c>
      <c r="L12" s="234">
        <f t="shared" si="2"/>
        <v>2442129</v>
      </c>
      <c r="M12" s="234">
        <f t="shared" si="2"/>
        <v>0</v>
      </c>
      <c r="N12" s="234">
        <f t="shared" si="2"/>
        <v>7041689.7057492277</v>
      </c>
      <c r="O12" s="234">
        <f t="shared" si="2"/>
        <v>0</v>
      </c>
      <c r="P12" s="234">
        <f t="shared" si="2"/>
        <v>75000</v>
      </c>
      <c r="Q12" s="234">
        <f t="shared" si="2"/>
        <v>75000</v>
      </c>
      <c r="R12" s="234">
        <f t="shared" si="2"/>
        <v>0</v>
      </c>
      <c r="S12" s="234">
        <f t="shared" si="2"/>
        <v>522027.13564805698</v>
      </c>
      <c r="T12" s="232">
        <v>522027.13564805698</v>
      </c>
      <c r="U12" s="232">
        <v>0</v>
      </c>
      <c r="W12" s="234">
        <f t="shared" si="1"/>
        <v>597027.13564805698</v>
      </c>
    </row>
    <row r="13" spans="1:23" ht="15.75" thickTop="1" x14ac:dyDescent="0.25">
      <c r="A13" s="90"/>
      <c r="B13" s="91"/>
      <c r="C13" s="91"/>
      <c r="D13" s="92"/>
      <c r="E13" s="92"/>
      <c r="F13" s="92"/>
      <c r="G13" s="92"/>
      <c r="H13" s="92"/>
      <c r="I13" s="92"/>
      <c r="J13" s="92"/>
      <c r="K13" s="92"/>
      <c r="L13" s="92"/>
      <c r="M13" s="79"/>
      <c r="N13" s="79"/>
      <c r="O13" s="79"/>
      <c r="P13" s="79"/>
      <c r="Q13" s="79"/>
      <c r="R13" s="79"/>
      <c r="S13" s="79"/>
      <c r="T13" s="79"/>
      <c r="U13" s="79"/>
      <c r="W13" s="79"/>
    </row>
    <row r="14" spans="1:23" x14ac:dyDescent="0.25">
      <c r="A14" s="95" t="s">
        <v>447</v>
      </c>
      <c r="B14" s="91">
        <v>9866089</v>
      </c>
      <c r="C14" s="91">
        <v>-122468.74936590003</v>
      </c>
      <c r="D14" s="92">
        <v>6208665</v>
      </c>
      <c r="E14" s="92">
        <v>6208665</v>
      </c>
      <c r="F14" s="92">
        <v>0</v>
      </c>
      <c r="G14" s="92">
        <v>10026496.587453352</v>
      </c>
      <c r="H14" s="92">
        <v>-1211991.5845777148</v>
      </c>
      <c r="I14" s="92">
        <v>87324.530960367032</v>
      </c>
      <c r="J14" s="92">
        <v>87324.530960367032</v>
      </c>
      <c r="K14" s="92">
        <v>0</v>
      </c>
      <c r="L14" s="92">
        <v>2119850</v>
      </c>
      <c r="M14" s="79">
        <v>0</v>
      </c>
      <c r="N14" s="79">
        <v>9477647.1154898144</v>
      </c>
      <c r="O14" s="79">
        <v>-945328.17061476619</v>
      </c>
      <c r="P14" s="79">
        <v>0</v>
      </c>
      <c r="Q14" s="79">
        <v>0</v>
      </c>
      <c r="R14" s="79">
        <v>0</v>
      </c>
      <c r="S14" s="79">
        <v>685409.38007742353</v>
      </c>
      <c r="T14" s="79">
        <v>685409.38007742353</v>
      </c>
      <c r="U14" s="79"/>
      <c r="W14" s="79">
        <f t="shared" si="1"/>
        <v>685409.38007742353</v>
      </c>
    </row>
    <row r="15" spans="1:23" x14ac:dyDescent="0.25">
      <c r="A15" s="95" t="s">
        <v>448</v>
      </c>
      <c r="B15" s="91">
        <v>7255338.75</v>
      </c>
      <c r="C15" s="91">
        <v>0</v>
      </c>
      <c r="D15" s="92">
        <v>2379775</v>
      </c>
      <c r="E15" s="92">
        <v>2379775</v>
      </c>
      <c r="F15" s="92">
        <v>0</v>
      </c>
      <c r="G15" s="92">
        <v>7311928.6514324434</v>
      </c>
      <c r="H15" s="92">
        <v>0</v>
      </c>
      <c r="I15" s="92">
        <v>1629119.2779345529</v>
      </c>
      <c r="J15" s="92">
        <v>1629119.2779345529</v>
      </c>
      <c r="K15" s="92">
        <v>0</v>
      </c>
      <c r="L15" s="92">
        <v>1655000</v>
      </c>
      <c r="M15" s="79">
        <v>0</v>
      </c>
      <c r="N15" s="79">
        <v>6714014.0454531796</v>
      </c>
      <c r="O15" s="79">
        <v>0</v>
      </c>
      <c r="P15" s="79">
        <v>0</v>
      </c>
      <c r="Q15" s="79">
        <v>0</v>
      </c>
      <c r="R15" s="79">
        <v>0</v>
      </c>
      <c r="S15" s="79">
        <v>499842.03758868331</v>
      </c>
      <c r="T15" s="79">
        <v>499842.03758868331</v>
      </c>
      <c r="U15" s="79"/>
      <c r="W15" s="79">
        <f t="shared" si="1"/>
        <v>499842.03758868331</v>
      </c>
    </row>
    <row r="16" spans="1:23" x14ac:dyDescent="0.25">
      <c r="A16" s="95" t="s">
        <v>76</v>
      </c>
      <c r="B16" s="91">
        <v>18809000</v>
      </c>
      <c r="C16" s="91">
        <v>0</v>
      </c>
      <c r="D16" s="92">
        <v>8264674.6000000006</v>
      </c>
      <c r="E16" s="92">
        <v>8264674.6000000006</v>
      </c>
      <c r="F16" s="92">
        <v>0</v>
      </c>
      <c r="G16" s="92">
        <v>23988548.512241278</v>
      </c>
      <c r="H16" s="92">
        <v>0</v>
      </c>
      <c r="I16" s="92">
        <v>5202609.3581688683</v>
      </c>
      <c r="J16" s="92">
        <v>5202609.3581688683</v>
      </c>
      <c r="K16" s="92">
        <v>0</v>
      </c>
      <c r="L16" s="92">
        <v>4326070</v>
      </c>
      <c r="M16" s="79">
        <v>0</v>
      </c>
      <c r="N16" s="79">
        <v>23362255.361454543</v>
      </c>
      <c r="O16" s="79">
        <v>0</v>
      </c>
      <c r="P16" s="79">
        <v>0</v>
      </c>
      <c r="Q16" s="79">
        <v>0</v>
      </c>
      <c r="R16" s="79">
        <v>0</v>
      </c>
      <c r="S16" s="79">
        <v>1639852.5667786242</v>
      </c>
      <c r="T16" s="79">
        <v>1639852.5667786242</v>
      </c>
      <c r="U16" s="79"/>
      <c r="W16" s="79">
        <f t="shared" si="1"/>
        <v>1639852.5667786242</v>
      </c>
    </row>
    <row r="17" spans="1:23" x14ac:dyDescent="0.25">
      <c r="A17" s="95" t="s">
        <v>462</v>
      </c>
      <c r="B17" s="91">
        <v>160500</v>
      </c>
      <c r="C17" s="91">
        <v>0</v>
      </c>
      <c r="D17" s="92">
        <v>52500</v>
      </c>
      <c r="E17" s="92">
        <v>52500</v>
      </c>
      <c r="F17" s="92">
        <v>0</v>
      </c>
      <c r="G17" s="92">
        <v>319928.31574875908</v>
      </c>
      <c r="H17" s="92">
        <v>0</v>
      </c>
      <c r="I17" s="92">
        <v>0</v>
      </c>
      <c r="J17" s="92">
        <v>0</v>
      </c>
      <c r="K17" s="92">
        <v>0</v>
      </c>
      <c r="L17" s="92">
        <v>51750</v>
      </c>
      <c r="M17" s="79">
        <v>0</v>
      </c>
      <c r="N17" s="79">
        <v>274111.20900000003</v>
      </c>
      <c r="O17" s="79">
        <v>0</v>
      </c>
      <c r="P17" s="79">
        <v>0</v>
      </c>
      <c r="Q17" s="79">
        <v>0</v>
      </c>
      <c r="R17" s="79">
        <v>0</v>
      </c>
      <c r="S17" s="79">
        <v>21870.238188777661</v>
      </c>
      <c r="T17" s="79">
        <v>21870.238188777661</v>
      </c>
      <c r="U17" s="79"/>
      <c r="W17" s="79">
        <f t="shared" si="1"/>
        <v>21870.238188777661</v>
      </c>
    </row>
    <row r="18" spans="1:23" x14ac:dyDescent="0.25">
      <c r="A18" s="95" t="s">
        <v>463</v>
      </c>
      <c r="B18" s="91">
        <v>40685</v>
      </c>
      <c r="C18" s="91">
        <v>0</v>
      </c>
      <c r="D18" s="92">
        <v>6376.07</v>
      </c>
      <c r="E18" s="92">
        <v>6376.07</v>
      </c>
      <c r="F18" s="92">
        <v>0</v>
      </c>
      <c r="G18" s="92">
        <v>26920.845984425861</v>
      </c>
      <c r="H18" s="92">
        <v>0</v>
      </c>
      <c r="I18" s="92">
        <v>2595.4466259099163</v>
      </c>
      <c r="J18" s="92">
        <v>2595.4466259099163</v>
      </c>
      <c r="K18" s="92">
        <v>0</v>
      </c>
      <c r="L18" s="92">
        <v>4960</v>
      </c>
      <c r="M18" s="79">
        <v>0</v>
      </c>
      <c r="N18" s="79">
        <v>25226.227108636362</v>
      </c>
      <c r="O18" s="79">
        <v>0</v>
      </c>
      <c r="P18" s="79">
        <v>2034.25</v>
      </c>
      <c r="Q18" s="79">
        <v>2034.25</v>
      </c>
      <c r="R18" s="79">
        <v>0</v>
      </c>
      <c r="S18" s="79">
        <v>1840.3038585217068</v>
      </c>
      <c r="T18" s="79">
        <v>1840.3038585217068</v>
      </c>
      <c r="U18" s="79"/>
      <c r="W18" s="79">
        <f t="shared" si="1"/>
        <v>3874.5538585217068</v>
      </c>
    </row>
    <row r="19" spans="1:23" x14ac:dyDescent="0.25">
      <c r="A19" s="95" t="s">
        <v>509</v>
      </c>
      <c r="B19" s="91">
        <v>773800</v>
      </c>
      <c r="C19" s="91">
        <v>0</v>
      </c>
      <c r="D19" s="92">
        <v>120000</v>
      </c>
      <c r="E19" s="92">
        <v>120000</v>
      </c>
      <c r="F19" s="92">
        <v>0</v>
      </c>
      <c r="G19" s="92">
        <v>968438.96404064842</v>
      </c>
      <c r="H19" s="92">
        <v>0</v>
      </c>
      <c r="I19" s="92">
        <v>23732.396525008924</v>
      </c>
      <c r="J19" s="92">
        <v>23732.396525008924</v>
      </c>
      <c r="K19" s="92">
        <v>0</v>
      </c>
      <c r="L19" s="92">
        <v>120000</v>
      </c>
      <c r="M19" s="79">
        <v>0</v>
      </c>
      <c r="N19" s="79">
        <v>961120.37847272726</v>
      </c>
      <c r="O19" s="79">
        <v>0</v>
      </c>
      <c r="P19" s="79">
        <v>0</v>
      </c>
      <c r="Q19" s="79">
        <v>0</v>
      </c>
      <c r="R19" s="79">
        <v>0</v>
      </c>
      <c r="S19" s="79">
        <v>66202.30149148409</v>
      </c>
      <c r="T19" s="79">
        <v>66202.30149148409</v>
      </c>
      <c r="U19" s="79"/>
      <c r="W19" s="79">
        <f t="shared" si="1"/>
        <v>66202.30149148409</v>
      </c>
    </row>
    <row r="20" spans="1:23" x14ac:dyDescent="0.25">
      <c r="A20" s="95" t="s">
        <v>449</v>
      </c>
      <c r="B20" s="91">
        <v>412500</v>
      </c>
      <c r="C20" s="91">
        <v>0</v>
      </c>
      <c r="D20" s="92">
        <v>26025</v>
      </c>
      <c r="E20" s="92">
        <v>26025</v>
      </c>
      <c r="F20" s="92">
        <v>0</v>
      </c>
      <c r="G20" s="92">
        <v>404845.93587212125</v>
      </c>
      <c r="H20" s="92">
        <v>0</v>
      </c>
      <c r="I20" s="92">
        <v>0</v>
      </c>
      <c r="J20" s="92">
        <v>0</v>
      </c>
      <c r="K20" s="92">
        <v>0</v>
      </c>
      <c r="L20" s="92">
        <v>26025</v>
      </c>
      <c r="M20" s="79">
        <v>0</v>
      </c>
      <c r="N20" s="79">
        <v>384268.05</v>
      </c>
      <c r="O20" s="79">
        <v>0</v>
      </c>
      <c r="P20" s="79">
        <v>0</v>
      </c>
      <c r="Q20" s="79">
        <v>0</v>
      </c>
      <c r="R20" s="79">
        <v>0</v>
      </c>
      <c r="S20" s="79">
        <v>27675.190383070181</v>
      </c>
      <c r="T20" s="79">
        <v>27675.190383070181</v>
      </c>
      <c r="U20" s="79"/>
      <c r="W20" s="79">
        <f t="shared" si="1"/>
        <v>27675.190383070181</v>
      </c>
    </row>
    <row r="21" spans="1:23" x14ac:dyDescent="0.25">
      <c r="A21" s="95" t="s">
        <v>572</v>
      </c>
      <c r="B21" s="96">
        <v>70814.5</v>
      </c>
      <c r="C21" s="96">
        <v>0</v>
      </c>
      <c r="D21" s="126">
        <v>24441.14</v>
      </c>
      <c r="E21" s="126">
        <v>24441.14</v>
      </c>
      <c r="F21" s="126">
        <v>0</v>
      </c>
      <c r="G21" s="126">
        <v>74656.329002588696</v>
      </c>
      <c r="H21" s="126">
        <v>0</v>
      </c>
      <c r="I21" s="92">
        <v>0</v>
      </c>
      <c r="J21" s="126">
        <v>0</v>
      </c>
      <c r="K21" s="126">
        <v>0</v>
      </c>
      <c r="L21" s="126">
        <v>6820</v>
      </c>
      <c r="M21" s="127">
        <v>0</v>
      </c>
      <c r="N21" s="127">
        <v>72460.339369772715</v>
      </c>
      <c r="O21" s="127">
        <v>0</v>
      </c>
      <c r="P21" s="127">
        <v>0</v>
      </c>
      <c r="Q21" s="127">
        <v>0</v>
      </c>
      <c r="R21" s="127">
        <v>0</v>
      </c>
      <c r="S21" s="79">
        <v>5103.492305034265</v>
      </c>
      <c r="T21" s="79">
        <v>5103.492305034265</v>
      </c>
      <c r="U21" s="127"/>
      <c r="W21" s="79">
        <f t="shared" si="1"/>
        <v>5103.492305034265</v>
      </c>
    </row>
    <row r="22" spans="1:23" x14ac:dyDescent="0.25">
      <c r="A22" s="95" t="s">
        <v>508</v>
      </c>
      <c r="B22" s="91">
        <v>169744</v>
      </c>
      <c r="C22" s="91">
        <v>0</v>
      </c>
      <c r="D22" s="92">
        <v>45657.349999999991</v>
      </c>
      <c r="E22" s="92">
        <v>45657.349999999991</v>
      </c>
      <c r="F22" s="92">
        <v>0</v>
      </c>
      <c r="G22" s="92">
        <v>129026.6704082058</v>
      </c>
      <c r="H22" s="92">
        <v>0</v>
      </c>
      <c r="I22" s="92">
        <v>89284.937286341737</v>
      </c>
      <c r="J22" s="92">
        <v>89284.937286341737</v>
      </c>
      <c r="K22" s="92">
        <v>0</v>
      </c>
      <c r="L22" s="92">
        <v>33426.400000000001</v>
      </c>
      <c r="M22" s="79">
        <v>0</v>
      </c>
      <c r="N22" s="79">
        <v>120304.31219672729</v>
      </c>
      <c r="O22" s="79">
        <v>0</v>
      </c>
      <c r="P22" s="79">
        <v>0</v>
      </c>
      <c r="Q22" s="79">
        <v>0</v>
      </c>
      <c r="R22" s="79">
        <v>0</v>
      </c>
      <c r="S22" s="79">
        <v>8820.2383959923573</v>
      </c>
      <c r="T22" s="79">
        <v>8820.2383959923573</v>
      </c>
      <c r="U22" s="79"/>
      <c r="W22" s="79">
        <f t="shared" si="1"/>
        <v>8820.2383959923573</v>
      </c>
    </row>
    <row r="23" spans="1:23" s="129" customFormat="1" x14ac:dyDescent="0.25">
      <c r="A23" s="95" t="s">
        <v>621</v>
      </c>
      <c r="B23" s="96">
        <v>42000</v>
      </c>
      <c r="C23" s="96">
        <v>0</v>
      </c>
      <c r="D23" s="126">
        <v>10080</v>
      </c>
      <c r="E23" s="126">
        <v>10080</v>
      </c>
      <c r="F23" s="126">
        <v>0</v>
      </c>
      <c r="G23" s="126">
        <v>10080</v>
      </c>
      <c r="H23" s="126">
        <v>0</v>
      </c>
      <c r="I23" s="92">
        <v>31558.093905953709</v>
      </c>
      <c r="J23" s="126">
        <v>31558.093905953709</v>
      </c>
      <c r="K23" s="126">
        <v>0</v>
      </c>
      <c r="L23" s="126">
        <v>10080</v>
      </c>
      <c r="M23" s="127">
        <v>0</v>
      </c>
      <c r="N23" s="127">
        <v>0</v>
      </c>
      <c r="O23" s="127">
        <v>0</v>
      </c>
      <c r="P23" s="127">
        <v>0</v>
      </c>
      <c r="Q23" s="127">
        <v>0</v>
      </c>
      <c r="R23" s="127">
        <v>0</v>
      </c>
      <c r="S23" s="127">
        <v>689.06686307816722</v>
      </c>
      <c r="T23" s="127">
        <v>689.06686307816722</v>
      </c>
      <c r="U23" s="127"/>
      <c r="W23" s="127">
        <f t="shared" si="1"/>
        <v>689.06686307816722</v>
      </c>
    </row>
    <row r="24" spans="1:23" s="129" customFormat="1" x14ac:dyDescent="0.25">
      <c r="A24" s="95" t="s">
        <v>623</v>
      </c>
      <c r="B24" s="96">
        <v>1600000</v>
      </c>
      <c r="C24" s="96">
        <v>0</v>
      </c>
      <c r="D24" s="126">
        <v>50000</v>
      </c>
      <c r="E24" s="126">
        <v>50000</v>
      </c>
      <c r="F24" s="126">
        <v>0</v>
      </c>
      <c r="G24" s="126">
        <v>670024.18083687394</v>
      </c>
      <c r="H24" s="126">
        <v>0</v>
      </c>
      <c r="I24" s="126">
        <v>2.5250287948902599E-2</v>
      </c>
      <c r="J24" s="126">
        <v>2.5250287948902599E-2</v>
      </c>
      <c r="K24" s="126">
        <v>0</v>
      </c>
      <c r="L24" s="126">
        <v>0</v>
      </c>
      <c r="M24" s="127">
        <v>0</v>
      </c>
      <c r="N24" s="127">
        <v>621039.27272727271</v>
      </c>
      <c r="O24" s="127">
        <v>0</v>
      </c>
      <c r="P24" s="127">
        <v>450000</v>
      </c>
      <c r="Q24" s="127">
        <v>450000</v>
      </c>
      <c r="R24" s="127">
        <v>0</v>
      </c>
      <c r="S24" s="127">
        <v>45802.724253549939</v>
      </c>
      <c r="T24" s="127">
        <v>45802.724253549939</v>
      </c>
      <c r="U24" s="127"/>
      <c r="W24" s="127">
        <f t="shared" si="1"/>
        <v>495802.72425354994</v>
      </c>
    </row>
    <row r="25" spans="1:23" ht="15.75" thickBot="1" x14ac:dyDescent="0.3">
      <c r="A25" s="230" t="s">
        <v>450</v>
      </c>
      <c r="B25" s="232">
        <f>SUM(B14:B24)</f>
        <v>39200471.25</v>
      </c>
      <c r="C25" s="232">
        <f t="shared" ref="C25:S25" si="3">SUM(C14:C24)</f>
        <v>-122468.74936590003</v>
      </c>
      <c r="D25" s="234">
        <f t="shared" si="3"/>
        <v>17188194.160000004</v>
      </c>
      <c r="E25" s="234">
        <f t="shared" si="3"/>
        <v>17188194.160000004</v>
      </c>
      <c r="F25" s="234">
        <f t="shared" si="3"/>
        <v>0</v>
      </c>
      <c r="G25" s="234">
        <f t="shared" si="3"/>
        <v>43930894.993020706</v>
      </c>
      <c r="H25" s="234">
        <f t="shared" si="3"/>
        <v>-1211991.5845777148</v>
      </c>
      <c r="I25" s="234">
        <f t="shared" si="3"/>
        <v>7066224.0666572899</v>
      </c>
      <c r="J25" s="234">
        <f t="shared" si="3"/>
        <v>7066224.0666572899</v>
      </c>
      <c r="K25" s="234">
        <f t="shared" si="3"/>
        <v>0</v>
      </c>
      <c r="L25" s="234">
        <f t="shared" si="3"/>
        <v>8353981.4000000004</v>
      </c>
      <c r="M25" s="234">
        <f t="shared" si="3"/>
        <v>0</v>
      </c>
      <c r="N25" s="234">
        <f t="shared" si="3"/>
        <v>42012446.311272666</v>
      </c>
      <c r="O25" s="234">
        <f t="shared" si="3"/>
        <v>-945328.17061476619</v>
      </c>
      <c r="P25" s="234">
        <f t="shared" si="3"/>
        <v>452034.25</v>
      </c>
      <c r="Q25" s="234">
        <f t="shared" si="3"/>
        <v>452034.25</v>
      </c>
      <c r="R25" s="234">
        <f t="shared" si="3"/>
        <v>0</v>
      </c>
      <c r="S25" s="234">
        <f t="shared" si="3"/>
        <v>3003107.5401842389</v>
      </c>
      <c r="T25" s="234">
        <v>3003107.5401842389</v>
      </c>
      <c r="U25" s="231">
        <v>0</v>
      </c>
      <c r="W25" s="234">
        <f t="shared" si="1"/>
        <v>3455141.7901842389</v>
      </c>
    </row>
    <row r="26" spans="1:23" ht="15.75" thickTop="1" x14ac:dyDescent="0.25">
      <c r="A26" s="80"/>
      <c r="B26" s="78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W26" s="79"/>
    </row>
    <row r="27" spans="1:23" ht="15.75" thickBot="1" x14ac:dyDescent="0.3">
      <c r="A27" s="235" t="s">
        <v>733</v>
      </c>
      <c r="B27" s="233">
        <f t="shared" ref="B27:S27" si="4">B25+B12+B5</f>
        <v>48474541.994362153</v>
      </c>
      <c r="C27" s="233">
        <f t="shared" si="4"/>
        <v>-122468.74936590003</v>
      </c>
      <c r="D27" s="231">
        <f t="shared" si="4"/>
        <v>22394474.623000007</v>
      </c>
      <c r="E27" s="231">
        <f t="shared" si="4"/>
        <v>22394474.623000007</v>
      </c>
      <c r="F27" s="231">
        <f t="shared" si="4"/>
        <v>0</v>
      </c>
      <c r="G27" s="231">
        <f t="shared" si="4"/>
        <v>53166031.480976991</v>
      </c>
      <c r="H27" s="231">
        <f t="shared" si="4"/>
        <v>-1211991.5845777148</v>
      </c>
      <c r="I27" s="231">
        <f t="shared" si="4"/>
        <v>10864225.319220999</v>
      </c>
      <c r="J27" s="231">
        <f t="shared" si="4"/>
        <v>10864225.319220999</v>
      </c>
      <c r="K27" s="231">
        <f t="shared" si="4"/>
        <v>0</v>
      </c>
      <c r="L27" s="231">
        <f t="shared" si="4"/>
        <v>12316202.265879665</v>
      </c>
      <c r="M27" s="231">
        <f t="shared" si="4"/>
        <v>0</v>
      </c>
      <c r="N27" s="231">
        <f t="shared" si="4"/>
        <v>50573883.011509746</v>
      </c>
      <c r="O27" s="231">
        <f t="shared" si="4"/>
        <v>-945328.17061476619</v>
      </c>
      <c r="P27" s="231">
        <f t="shared" si="4"/>
        <v>983061.80976389954</v>
      </c>
      <c r="Q27" s="231">
        <f t="shared" si="4"/>
        <v>983061.80976389954</v>
      </c>
      <c r="R27" s="231">
        <f t="shared" si="4"/>
        <v>0</v>
      </c>
      <c r="S27" s="231">
        <f t="shared" si="4"/>
        <v>3634419.6959237987</v>
      </c>
      <c r="T27" s="231">
        <v>3634419.6959237987</v>
      </c>
      <c r="U27" s="233">
        <v>0</v>
      </c>
      <c r="W27" s="231">
        <f t="shared" si="1"/>
        <v>4617481.5056876987</v>
      </c>
    </row>
    <row r="28" spans="1:23" ht="15.75" thickTop="1" x14ac:dyDescent="0.25">
      <c r="T28" s="85"/>
    </row>
    <row r="31" spans="1:23" x14ac:dyDescent="0.25">
      <c r="B31" s="116"/>
    </row>
    <row r="32" spans="1:23" x14ac:dyDescent="0.25">
      <c r="B32" s="116"/>
    </row>
    <row r="33" spans="2:2" x14ac:dyDescent="0.25">
      <c r="B33" s="1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2.0 - Source</vt:lpstr>
      <vt:lpstr>2.0 - NEBs</vt:lpstr>
      <vt:lpstr>3.4 - Open</vt:lpstr>
      <vt:lpstr>3.6 - Open</vt:lpstr>
      <vt:lpstr>Figures for Chapter 4</vt:lpstr>
      <vt:lpstr>Tables for Chapter 4</vt:lpstr>
      <vt:lpstr>NR NEI</vt:lpstr>
      <vt:lpstr>2022 Portfolio Summary</vt:lpstr>
      <vt:lpstr>2022 Elec Program Cost Summary</vt:lpstr>
      <vt:lpstr>'3.4 - Open'!Elec_Measure_Type</vt:lpstr>
      <vt:lpstr>'3.6 - Open'!Elec_Measure_Type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mrd0036</dc:creator>
  <cp:lastModifiedBy>James Gall</cp:lastModifiedBy>
  <cp:lastPrinted>2021-09-19T17:59:12Z</cp:lastPrinted>
  <dcterms:created xsi:type="dcterms:W3CDTF">2015-12-17T19:07:19Z</dcterms:created>
  <dcterms:modified xsi:type="dcterms:W3CDTF">2021-09-30T22:30:11Z</dcterms:modified>
</cp:coreProperties>
</file>